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FBTC_Projects\Vesta2\"/>
    </mc:Choice>
  </mc:AlternateContent>
  <bookViews>
    <workbookView xWindow="-120" yWindow="-120" windowWidth="29040" windowHeight="15840" tabRatio="724" activeTab="7"/>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5" i="31" l="1"/>
  <c r="P15" i="31"/>
  <c r="Q15" i="31"/>
  <c r="S15" i="31"/>
  <c r="J16" i="31"/>
  <c r="P16" i="31"/>
  <c r="Q16" i="31" s="1"/>
  <c r="S16" i="31"/>
  <c r="J17" i="31"/>
  <c r="P17" i="31"/>
  <c r="Q17" i="31" s="1"/>
  <c r="S17" i="31"/>
  <c r="J18" i="31"/>
  <c r="P18" i="31"/>
  <c r="Q18" i="31"/>
  <c r="S18" i="31"/>
  <c r="J19" i="31"/>
  <c r="P19" i="31"/>
  <c r="Q19" i="31" s="1"/>
  <c r="S19" i="31"/>
  <c r="J20" i="31"/>
  <c r="P20" i="31"/>
  <c r="Q20" i="31" s="1"/>
  <c r="S20" i="31"/>
  <c r="J21" i="31"/>
  <c r="P21" i="31"/>
  <c r="Q21" i="31"/>
  <c r="S21" i="31"/>
  <c r="J22" i="31"/>
  <c r="P22" i="31"/>
  <c r="Q22" i="31" s="1"/>
  <c r="S22" i="31"/>
  <c r="J23" i="31"/>
  <c r="P23" i="31"/>
  <c r="Q23" i="31" s="1"/>
  <c r="S23" i="31"/>
  <c r="J24" i="31"/>
  <c r="P24" i="31"/>
  <c r="Q24" i="31"/>
  <c r="S24" i="31"/>
  <c r="J25" i="31"/>
  <c r="P25" i="31"/>
  <c r="Q25" i="31" s="1"/>
  <c r="S25" i="31"/>
  <c r="J26" i="31"/>
  <c r="P26" i="31"/>
  <c r="Q26" i="31" s="1"/>
  <c r="S26" i="31"/>
  <c r="J27" i="31"/>
  <c r="P27" i="31"/>
  <c r="Q27" i="31"/>
  <c r="S27" i="31"/>
  <c r="J28" i="31"/>
  <c r="P28" i="31"/>
  <c r="Q28" i="31" s="1"/>
  <c r="S28" i="31"/>
  <c r="J29" i="31"/>
  <c r="P29" i="31"/>
  <c r="Q29" i="31" s="1"/>
  <c r="S29" i="31"/>
  <c r="J30" i="31"/>
  <c r="P30" i="31"/>
  <c r="Q30" i="31"/>
  <c r="S30" i="31"/>
  <c r="J31" i="31"/>
  <c r="P31" i="31"/>
  <c r="Q31" i="31" s="1"/>
  <c r="S31" i="31"/>
  <c r="J32" i="31"/>
  <c r="P32" i="31"/>
  <c r="Q32" i="31" s="1"/>
  <c r="S32" i="31"/>
  <c r="J33" i="31"/>
  <c r="P33" i="31"/>
  <c r="Q33" i="31"/>
  <c r="S33" i="31"/>
  <c r="J34" i="31"/>
  <c r="P34" i="31"/>
  <c r="Q34" i="31" s="1"/>
  <c r="S34" i="31"/>
  <c r="J35" i="31"/>
  <c r="P35" i="31"/>
  <c r="Q35" i="31" s="1"/>
  <c r="S35" i="31"/>
  <c r="J36" i="31"/>
  <c r="P36" i="31"/>
  <c r="Q36" i="31"/>
  <c r="S36" i="31"/>
  <c r="J37" i="31"/>
  <c r="P37" i="31"/>
  <c r="Q37" i="31" s="1"/>
  <c r="S37" i="31"/>
  <c r="J38" i="31"/>
  <c r="P38" i="31"/>
  <c r="Q38" i="31" s="1"/>
  <c r="S38" i="31"/>
  <c r="J39" i="31"/>
  <c r="P39" i="31"/>
  <c r="Q39" i="31"/>
  <c r="S39" i="31"/>
  <c r="J40" i="31"/>
  <c r="P40" i="31"/>
  <c r="Q40" i="31" s="1"/>
  <c r="S40" i="31"/>
  <c r="J41" i="31"/>
  <c r="P41" i="31"/>
  <c r="Q41" i="31" s="1"/>
  <c r="S41" i="31"/>
  <c r="J42" i="31"/>
  <c r="P42" i="31"/>
  <c r="Q42" i="31" s="1"/>
  <c r="S42" i="31"/>
  <c r="J43" i="31"/>
  <c r="P43" i="31"/>
  <c r="Q43" i="31" s="1"/>
  <c r="S43" i="31"/>
  <c r="J44" i="31"/>
  <c r="P44" i="31"/>
  <c r="Q44" i="31" s="1"/>
  <c r="S44" i="31"/>
  <c r="J45" i="31"/>
  <c r="P45" i="31"/>
  <c r="Q45" i="31" s="1"/>
  <c r="S45" i="31"/>
  <c r="J46" i="31"/>
  <c r="P46" i="31"/>
  <c r="Q46" i="31" s="1"/>
  <c r="S46" i="31"/>
  <c r="J47" i="31"/>
  <c r="P47" i="31"/>
  <c r="Q47" i="31" s="1"/>
  <c r="S47" i="31"/>
  <c r="J48" i="31"/>
  <c r="P48" i="31"/>
  <c r="Q48" i="31" s="1"/>
  <c r="S48" i="31"/>
  <c r="J49" i="31"/>
  <c r="P49" i="31"/>
  <c r="Q49" i="31" s="1"/>
  <c r="S49" i="31"/>
  <c r="J50" i="31"/>
  <c r="P50" i="31"/>
  <c r="Q50" i="31" s="1"/>
  <c r="S50" i="31"/>
  <c r="J51" i="31"/>
  <c r="P51" i="31"/>
  <c r="Q51" i="31" s="1"/>
  <c r="S51" i="31"/>
  <c r="J52" i="31"/>
  <c r="P52" i="31"/>
  <c r="Q52" i="31" s="1"/>
  <c r="S52" i="31"/>
  <c r="J53" i="31"/>
  <c r="P53" i="31"/>
  <c r="Q53" i="31" s="1"/>
  <c r="S53" i="31"/>
  <c r="J54" i="31"/>
  <c r="P54" i="31"/>
  <c r="Q54" i="31" s="1"/>
  <c r="S54" i="31"/>
  <c r="J55" i="31"/>
  <c r="P55" i="31"/>
  <c r="Q55" i="31" s="1"/>
  <c r="S55" i="31"/>
  <c r="J56" i="31"/>
  <c r="P56" i="31"/>
  <c r="Q56" i="31" s="1"/>
  <c r="S56" i="31"/>
  <c r="J57" i="31"/>
  <c r="P57" i="31"/>
  <c r="Q57" i="31" s="1"/>
  <c r="S57" i="31"/>
  <c r="J58" i="31"/>
  <c r="P58" i="31"/>
  <c r="Q58" i="31" s="1"/>
  <c r="S58" i="31"/>
  <c r="J59" i="31"/>
  <c r="P59" i="31"/>
  <c r="Q59" i="31" s="1"/>
  <c r="S59" i="31"/>
  <c r="J60" i="31"/>
  <c r="P60" i="31"/>
  <c r="Q60" i="31" s="1"/>
  <c r="S60" i="31"/>
  <c r="J61" i="31"/>
  <c r="P61" i="31"/>
  <c r="Q61" i="31" s="1"/>
  <c r="S61" i="31"/>
  <c r="J62" i="31"/>
  <c r="P62" i="31"/>
  <c r="Q62" i="31" s="1"/>
  <c r="S62" i="31"/>
  <c r="J63" i="31"/>
  <c r="P63" i="31"/>
  <c r="Q63" i="31" s="1"/>
  <c r="S63" i="31"/>
  <c r="J64" i="31"/>
  <c r="P64" i="31"/>
  <c r="Q64" i="31" s="1"/>
  <c r="S64" i="31"/>
  <c r="J65" i="31"/>
  <c r="P65" i="31"/>
  <c r="Q65" i="31" s="1"/>
  <c r="S65" i="31"/>
  <c r="J66" i="31"/>
  <c r="P66" i="31"/>
  <c r="Q66" i="31" s="1"/>
  <c r="S66" i="31"/>
  <c r="J67" i="31"/>
  <c r="P67" i="31"/>
  <c r="Q67" i="31" s="1"/>
  <c r="S67" i="31"/>
  <c r="J68" i="31"/>
  <c r="P68" i="31"/>
  <c r="Q68" i="31" s="1"/>
  <c r="S68" i="31"/>
  <c r="J69" i="31"/>
  <c r="P69" i="31"/>
  <c r="Q69" i="31" s="1"/>
  <c r="S69" i="31"/>
  <c r="J70" i="31"/>
  <c r="P70" i="31"/>
  <c r="Q70" i="31" s="1"/>
  <c r="S70" i="31"/>
  <c r="J71" i="31"/>
  <c r="P71" i="31"/>
  <c r="Q71" i="31" s="1"/>
  <c r="S71" i="31"/>
  <c r="J72" i="31"/>
  <c r="P72" i="31"/>
  <c r="Q72" i="31" s="1"/>
  <c r="S72" i="31"/>
  <c r="J73" i="31"/>
  <c r="P73" i="31"/>
  <c r="Q73" i="31" s="1"/>
  <c r="S73" i="31"/>
  <c r="J74" i="31"/>
  <c r="P74" i="31"/>
  <c r="Q74" i="31" s="1"/>
  <c r="S74" i="31"/>
  <c r="J75" i="31"/>
  <c r="P75" i="31"/>
  <c r="Q75" i="31" s="1"/>
  <c r="S75" i="31"/>
  <c r="J76" i="31"/>
  <c r="P76" i="31"/>
  <c r="Q76" i="31" s="1"/>
  <c r="S76" i="31"/>
  <c r="J77" i="31"/>
  <c r="P77" i="31"/>
  <c r="Q77" i="31" s="1"/>
  <c r="S77" i="31"/>
  <c r="J78" i="31"/>
  <c r="P78" i="31"/>
  <c r="Q78" i="31" s="1"/>
  <c r="S78" i="31"/>
  <c r="J79" i="31"/>
  <c r="P79" i="31"/>
  <c r="Q79" i="31" s="1"/>
  <c r="S79" i="31"/>
  <c r="J80" i="31"/>
  <c r="P80" i="31"/>
  <c r="Q80" i="31" s="1"/>
  <c r="S80" i="31"/>
  <c r="J81" i="31"/>
  <c r="P81" i="31"/>
  <c r="Q81" i="31" s="1"/>
  <c r="S81" i="31"/>
  <c r="J82" i="31"/>
  <c r="P82" i="31"/>
  <c r="Q82" i="31" s="1"/>
  <c r="S82" i="31"/>
  <c r="J83" i="31"/>
  <c r="P83" i="31"/>
  <c r="Q83" i="31" s="1"/>
  <c r="S83" i="31"/>
  <c r="J84" i="31"/>
  <c r="P84" i="31"/>
  <c r="Q84" i="31" s="1"/>
  <c r="S84" i="31"/>
  <c r="J85" i="31"/>
  <c r="P85" i="31"/>
  <c r="Q85" i="31" s="1"/>
  <c r="S85" i="31"/>
  <c r="J86" i="31"/>
  <c r="P86" i="31"/>
  <c r="Q86" i="31" s="1"/>
  <c r="S86" i="31"/>
  <c r="J87" i="31"/>
  <c r="P87" i="31"/>
  <c r="Q87" i="31" s="1"/>
  <c r="S87" i="31"/>
  <c r="J88" i="31"/>
  <c r="P88" i="31"/>
  <c r="Q88" i="31" s="1"/>
  <c r="S88" i="31"/>
  <c r="J89" i="31"/>
  <c r="P89" i="31"/>
  <c r="Q89" i="31" s="1"/>
  <c r="S89" i="31"/>
  <c r="J90" i="31"/>
  <c r="P90" i="31"/>
  <c r="Q90" i="31" s="1"/>
  <c r="S90" i="31"/>
  <c r="J91" i="31"/>
  <c r="P91" i="31"/>
  <c r="Q91" i="31" s="1"/>
  <c r="S91" i="31"/>
  <c r="J92" i="31"/>
  <c r="P92" i="31"/>
  <c r="Q92" i="31" s="1"/>
  <c r="S92" i="31"/>
  <c r="J93" i="31"/>
  <c r="P93" i="31"/>
  <c r="Q93" i="31" s="1"/>
  <c r="S93" i="31"/>
  <c r="J94" i="31"/>
  <c r="P94" i="31"/>
  <c r="Q94" i="31" s="1"/>
  <c r="S94" i="31"/>
  <c r="J95" i="31"/>
  <c r="P95" i="31"/>
  <c r="Q95" i="31" s="1"/>
  <c r="S95" i="31"/>
  <c r="J96" i="31"/>
  <c r="P96" i="31"/>
  <c r="Q96" i="31" s="1"/>
  <c r="S96" i="31"/>
  <c r="J97" i="31"/>
  <c r="P97" i="31"/>
  <c r="Q97" i="31" s="1"/>
  <c r="S97" i="31"/>
  <c r="J98" i="31"/>
  <c r="P98" i="31"/>
  <c r="Q98" i="31" s="1"/>
  <c r="S98" i="31"/>
  <c r="J99" i="31"/>
  <c r="P99" i="31"/>
  <c r="Q99" i="31" s="1"/>
  <c r="S99" i="31"/>
  <c r="J100" i="31"/>
  <c r="P100" i="31"/>
  <c r="Q100" i="31" s="1"/>
  <c r="S100" i="31"/>
  <c r="J101" i="31"/>
  <c r="P101" i="31"/>
  <c r="Q101" i="31" s="1"/>
  <c r="S101" i="31"/>
  <c r="J102" i="31"/>
  <c r="P102" i="31"/>
  <c r="Q102" i="31" s="1"/>
  <c r="S102" i="31"/>
  <c r="J103" i="31"/>
  <c r="P103" i="31"/>
  <c r="Q103" i="31" s="1"/>
  <c r="S103" i="31"/>
  <c r="J104" i="31"/>
  <c r="P104" i="31"/>
  <c r="Q104" i="31" s="1"/>
  <c r="S104" i="31"/>
  <c r="J105" i="31"/>
  <c r="P105" i="31"/>
  <c r="Q105" i="31" s="1"/>
  <c r="S105" i="31"/>
  <c r="J106" i="31"/>
  <c r="P106" i="31"/>
  <c r="Q106" i="31" s="1"/>
  <c r="S106" i="31"/>
  <c r="J107" i="31"/>
  <c r="P107" i="31"/>
  <c r="Q107" i="31" s="1"/>
  <c r="S107" i="31"/>
  <c r="J108" i="31"/>
  <c r="P108" i="31"/>
  <c r="Q108" i="31" s="1"/>
  <c r="S108" i="31"/>
  <c r="J109" i="31"/>
  <c r="P109" i="31"/>
  <c r="Q109" i="31" s="1"/>
  <c r="S109" i="31"/>
  <c r="J110" i="31"/>
  <c r="P110" i="31"/>
  <c r="Q110" i="31" s="1"/>
  <c r="S110" i="31"/>
  <c r="J111" i="31"/>
  <c r="P111" i="31"/>
  <c r="Q111" i="31" s="1"/>
  <c r="S111" i="31"/>
  <c r="J112" i="31"/>
  <c r="P112" i="31"/>
  <c r="Q112" i="31"/>
  <c r="S112" i="31"/>
  <c r="J113" i="31"/>
  <c r="P113" i="31"/>
  <c r="Q113" i="31"/>
  <c r="S113" i="31"/>
  <c r="J114" i="31"/>
  <c r="P114" i="31"/>
  <c r="Q114" i="31" s="1"/>
  <c r="S114" i="31"/>
  <c r="J115" i="31"/>
  <c r="P115" i="31"/>
  <c r="Q115" i="31"/>
  <c r="S115" i="31"/>
  <c r="J116" i="31"/>
  <c r="P116" i="31"/>
  <c r="Q116" i="31"/>
  <c r="S116" i="31"/>
  <c r="J117" i="31"/>
  <c r="P117" i="31"/>
  <c r="Q117" i="31" s="1"/>
  <c r="S117" i="31"/>
  <c r="J118" i="31"/>
  <c r="P118" i="31"/>
  <c r="Q118" i="31"/>
  <c r="S118" i="31"/>
  <c r="J119" i="31"/>
  <c r="P119" i="31"/>
  <c r="Q119" i="31"/>
  <c r="S119" i="31"/>
  <c r="J120" i="31"/>
  <c r="P120" i="31"/>
  <c r="Q120" i="31" s="1"/>
  <c r="S120" i="31"/>
  <c r="J121" i="31"/>
  <c r="P121" i="31"/>
  <c r="Q121" i="31"/>
  <c r="S121" i="31"/>
  <c r="J122" i="31"/>
  <c r="P122" i="31"/>
  <c r="Q122" i="31"/>
  <c r="S122" i="31"/>
  <c r="J123" i="31"/>
  <c r="P123" i="31"/>
  <c r="Q123" i="31" s="1"/>
  <c r="S123" i="31"/>
  <c r="J124" i="31"/>
  <c r="P124" i="31"/>
  <c r="Q124" i="31"/>
  <c r="S124" i="31"/>
  <c r="J125" i="31"/>
  <c r="P125" i="31"/>
  <c r="Q125" i="31"/>
  <c r="S125" i="31"/>
  <c r="J126" i="31"/>
  <c r="P126" i="31"/>
  <c r="Q126" i="31" s="1"/>
  <c r="S126" i="31"/>
  <c r="J127" i="31"/>
  <c r="P127" i="31"/>
  <c r="Q127" i="31"/>
  <c r="S127" i="31"/>
  <c r="J128" i="31"/>
  <c r="P128" i="31"/>
  <c r="Q128" i="31"/>
  <c r="S128" i="31"/>
  <c r="J129" i="31"/>
  <c r="P129" i="31"/>
  <c r="Q129" i="31" s="1"/>
  <c r="S129" i="31"/>
  <c r="J130" i="31"/>
  <c r="P130" i="31"/>
  <c r="Q130" i="31"/>
  <c r="S130" i="31"/>
  <c r="J131" i="31"/>
  <c r="P131" i="31"/>
  <c r="Q131" i="31" s="1"/>
  <c r="S131" i="31"/>
  <c r="J132" i="31"/>
  <c r="P132" i="31"/>
  <c r="Q132" i="31"/>
  <c r="S132" i="31"/>
  <c r="I133" i="31"/>
  <c r="J133" i="31"/>
  <c r="P133" i="31"/>
  <c r="Q133" i="31"/>
  <c r="S133" i="31"/>
  <c r="J134" i="31"/>
  <c r="P134" i="31"/>
  <c r="Q134" i="31" s="1"/>
  <c r="S134" i="31"/>
  <c r="J135" i="31"/>
  <c r="P135" i="31"/>
  <c r="Q135" i="31" s="1"/>
  <c r="S135" i="31"/>
  <c r="J136" i="31"/>
  <c r="P136" i="31"/>
  <c r="Q136" i="31"/>
  <c r="S136" i="31"/>
  <c r="J137" i="31"/>
  <c r="P137" i="31"/>
  <c r="Q137" i="31" s="1"/>
  <c r="S137" i="31"/>
  <c r="J138" i="31"/>
  <c r="P138" i="31"/>
  <c r="Q138" i="31"/>
  <c r="S138" i="31"/>
  <c r="J139" i="31"/>
  <c r="P139" i="31"/>
  <c r="Q139" i="31"/>
  <c r="S139" i="31"/>
  <c r="J140" i="31"/>
  <c r="P140" i="31"/>
  <c r="Q140" i="31" s="1"/>
  <c r="S140" i="31"/>
  <c r="J141" i="31"/>
  <c r="P141" i="31"/>
  <c r="Q141" i="31" s="1"/>
  <c r="S141" i="31"/>
  <c r="J142" i="31"/>
  <c r="P142" i="31"/>
  <c r="Q142" i="31"/>
  <c r="S142" i="31"/>
  <c r="J143" i="31"/>
  <c r="P143" i="31"/>
  <c r="Q143" i="31" s="1"/>
  <c r="S143" i="31"/>
  <c r="J144" i="31"/>
  <c r="P144" i="31"/>
  <c r="Q144" i="31" s="1"/>
  <c r="S144" i="31"/>
  <c r="J145" i="31"/>
  <c r="P145" i="31"/>
  <c r="Q145" i="31"/>
  <c r="S145" i="31"/>
  <c r="J146" i="31"/>
  <c r="P146" i="31"/>
  <c r="Q146" i="31" s="1"/>
  <c r="S146" i="31"/>
  <c r="J147" i="31"/>
  <c r="P147" i="31"/>
  <c r="Q147" i="31" s="1"/>
  <c r="S147" i="31"/>
  <c r="J148" i="31"/>
  <c r="P148" i="31"/>
  <c r="Q148" i="31"/>
  <c r="S148" i="31"/>
  <c r="J149" i="31"/>
  <c r="P149" i="31"/>
  <c r="Q149" i="31" s="1"/>
  <c r="S149" i="31"/>
  <c r="J150" i="31"/>
  <c r="P150" i="31"/>
  <c r="Q150" i="31" s="1"/>
  <c r="S150" i="31"/>
  <c r="J151" i="31"/>
  <c r="P151" i="31"/>
  <c r="Q151" i="31" s="1"/>
  <c r="S151" i="31"/>
  <c r="J152" i="31"/>
  <c r="K152" i="31"/>
  <c r="P152" i="31"/>
  <c r="Q152" i="31" s="1"/>
  <c r="S152" i="31"/>
  <c r="J153" i="31"/>
  <c r="P153" i="31"/>
  <c r="Q153" i="31" s="1"/>
  <c r="S153" i="31"/>
  <c r="J154" i="31"/>
  <c r="P154" i="31"/>
  <c r="Q154" i="31" s="1"/>
  <c r="S154" i="31"/>
  <c r="J155" i="31"/>
  <c r="P155" i="31"/>
  <c r="Q155" i="31" s="1"/>
  <c r="S155" i="31"/>
  <c r="J156" i="31"/>
  <c r="P156" i="31"/>
  <c r="Q156" i="31" s="1"/>
  <c r="S156" i="31"/>
  <c r="J157" i="31"/>
  <c r="P157" i="31"/>
  <c r="Q157" i="31" s="1"/>
  <c r="S157" i="31"/>
  <c r="J158" i="31"/>
  <c r="P158" i="31"/>
  <c r="Q158" i="31" s="1"/>
  <c r="S158" i="31"/>
  <c r="J159" i="31"/>
  <c r="P159" i="31"/>
  <c r="Q159" i="31"/>
  <c r="S159" i="31"/>
  <c r="J160" i="31"/>
  <c r="P160" i="31"/>
  <c r="Q160" i="31"/>
  <c r="S160" i="31"/>
  <c r="J161" i="31"/>
  <c r="P161" i="31"/>
  <c r="Q161" i="31" s="1"/>
  <c r="S161" i="31"/>
  <c r="J162" i="31"/>
  <c r="P162" i="31"/>
  <c r="Q162" i="31"/>
  <c r="S162" i="31"/>
  <c r="J163" i="31"/>
  <c r="P163" i="31"/>
  <c r="Q163" i="31" s="1"/>
  <c r="S163" i="31"/>
  <c r="J164" i="31"/>
  <c r="P164" i="31"/>
  <c r="Q164" i="31" s="1"/>
  <c r="S164" i="31"/>
  <c r="J165" i="31"/>
  <c r="P165" i="31"/>
  <c r="Q165" i="31"/>
  <c r="S165" i="31"/>
  <c r="J166" i="31"/>
  <c r="P166" i="31"/>
  <c r="Q166" i="31" s="1"/>
  <c r="S166" i="31"/>
  <c r="J167" i="31"/>
  <c r="P167" i="31"/>
  <c r="Q167" i="31" s="1"/>
  <c r="S167" i="31"/>
  <c r="J168" i="31"/>
  <c r="P168" i="31"/>
  <c r="Q168" i="31"/>
  <c r="S168" i="31"/>
  <c r="J169" i="31"/>
  <c r="P169" i="31"/>
  <c r="Q169" i="31" s="1"/>
  <c r="S169" i="31"/>
  <c r="J170" i="31"/>
  <c r="P170" i="31"/>
  <c r="Q170" i="31" s="1"/>
  <c r="S170" i="31"/>
  <c r="J171" i="31"/>
  <c r="P171" i="31"/>
  <c r="Q171" i="31"/>
  <c r="S171" i="31"/>
  <c r="J172" i="31"/>
  <c r="P172" i="31"/>
  <c r="Q172" i="31" s="1"/>
  <c r="S172" i="31"/>
  <c r="J173" i="31"/>
  <c r="P173" i="31"/>
  <c r="Q173" i="31" s="1"/>
  <c r="S173" i="31"/>
  <c r="J174" i="31"/>
  <c r="P174" i="31"/>
  <c r="Q174" i="31"/>
  <c r="S174" i="31"/>
  <c r="J175" i="31"/>
  <c r="P175" i="31"/>
  <c r="Q175" i="31" s="1"/>
  <c r="S175" i="31"/>
  <c r="J176" i="31"/>
  <c r="P176" i="31"/>
  <c r="Q176" i="31" s="1"/>
  <c r="S176" i="31"/>
  <c r="J177" i="31"/>
  <c r="P177" i="31"/>
  <c r="Q177" i="31"/>
  <c r="S177" i="31"/>
  <c r="J178" i="31"/>
  <c r="P178" i="31"/>
  <c r="Q178" i="31" s="1"/>
  <c r="S178" i="31"/>
  <c r="J179" i="31"/>
  <c r="P179" i="31"/>
  <c r="Q179" i="31" s="1"/>
  <c r="S179"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F54" i="31"/>
  <c r="G54" i="31"/>
  <c r="A55" i="31"/>
  <c r="B55" i="31"/>
  <c r="C55" i="31"/>
  <c r="D55" i="31"/>
  <c r="E55" i="31"/>
  <c r="F55" i="31"/>
  <c r="G55" i="31"/>
  <c r="A56" i="31"/>
  <c r="B56" i="31"/>
  <c r="C56" i="31"/>
  <c r="D56" i="31"/>
  <c r="E56" i="31"/>
  <c r="F56" i="31"/>
  <c r="G56" i="31"/>
  <c r="A57" i="31"/>
  <c r="B57" i="31"/>
  <c r="C57" i="31"/>
  <c r="D57" i="31"/>
  <c r="E57" i="31"/>
  <c r="F57" i="31"/>
  <c r="G57" i="31"/>
  <c r="A58" i="31"/>
  <c r="B58" i="31"/>
  <c r="C58" i="31"/>
  <c r="D58" i="31"/>
  <c r="E58" i="31"/>
  <c r="F58" i="31"/>
  <c r="G58" i="31"/>
  <c r="A59" i="31"/>
  <c r="B59" i="31"/>
  <c r="C59" i="31"/>
  <c r="D59" i="31"/>
  <c r="E59" i="31"/>
  <c r="F59" i="31"/>
  <c r="G59" i="31"/>
  <c r="A60" i="31"/>
  <c r="B60" i="31"/>
  <c r="C60" i="31"/>
  <c r="D60" i="31"/>
  <c r="E60" i="31"/>
  <c r="F60" i="31"/>
  <c r="G60" i="31"/>
  <c r="A61" i="31"/>
  <c r="B61" i="31"/>
  <c r="C61" i="31"/>
  <c r="D61" i="31"/>
  <c r="E61" i="31"/>
  <c r="F61" i="31"/>
  <c r="G61" i="31"/>
  <c r="A62" i="31"/>
  <c r="B62" i="31"/>
  <c r="C62" i="31"/>
  <c r="D62" i="31"/>
  <c r="E62" i="31"/>
  <c r="F62" i="31"/>
  <c r="G62" i="31"/>
  <c r="A63" i="31"/>
  <c r="B63" i="31"/>
  <c r="C63" i="31"/>
  <c r="D63" i="31"/>
  <c r="E63" i="31"/>
  <c r="F63" i="31"/>
  <c r="G63" i="31"/>
  <c r="A64" i="31"/>
  <c r="B64" i="31"/>
  <c r="C64" i="31"/>
  <c r="D64" i="31"/>
  <c r="E64" i="31"/>
  <c r="F64" i="31"/>
  <c r="G64" i="31"/>
  <c r="A65" i="31"/>
  <c r="B65" i="31"/>
  <c r="C65" i="31"/>
  <c r="D65" i="31"/>
  <c r="E65" i="3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L78" i="31" s="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F82" i="31"/>
  <c r="G82" i="31"/>
  <c r="A83" i="31"/>
  <c r="B83" i="31"/>
  <c r="C83" i="31"/>
  <c r="D83" i="31"/>
  <c r="E83" i="3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F89" i="31"/>
  <c r="G89" i="31"/>
  <c r="A90" i="31"/>
  <c r="B90" i="31"/>
  <c r="C90" i="31"/>
  <c r="D90" i="31"/>
  <c r="E90" i="31"/>
  <c r="F90" i="31"/>
  <c r="G90" i="31"/>
  <c r="A91" i="31"/>
  <c r="B91" i="31"/>
  <c r="C91" i="31"/>
  <c r="D91" i="31"/>
  <c r="E91" i="31"/>
  <c r="F91" i="31"/>
  <c r="G91" i="31"/>
  <c r="A92" i="31"/>
  <c r="B92" i="31"/>
  <c r="C92" i="31"/>
  <c r="D92" i="31"/>
  <c r="E92" i="31"/>
  <c r="F92" i="31"/>
  <c r="G92" i="31"/>
  <c r="A93" i="31"/>
  <c r="B93" i="31"/>
  <c r="C93" i="31"/>
  <c r="D93" i="31"/>
  <c r="E93" i="31"/>
  <c r="K93" i="31" s="1"/>
  <c r="F93" i="31"/>
  <c r="G93" i="31"/>
  <c r="A94" i="31"/>
  <c r="B94" i="31"/>
  <c r="C94" i="31"/>
  <c r="D94" i="31"/>
  <c r="E94" i="31"/>
  <c r="F94" i="31"/>
  <c r="G94" i="31"/>
  <c r="A95" i="31"/>
  <c r="B95" i="31"/>
  <c r="C95" i="31"/>
  <c r="D95" i="31"/>
  <c r="E95" i="31"/>
  <c r="F95" i="31"/>
  <c r="G95" i="31"/>
  <c r="A96" i="31"/>
  <c r="B96" i="31"/>
  <c r="C96" i="31"/>
  <c r="D96" i="31"/>
  <c r="E96" i="31"/>
  <c r="F96" i="31"/>
  <c r="G96" i="31"/>
  <c r="A97" i="31"/>
  <c r="B97" i="31"/>
  <c r="C97" i="31"/>
  <c r="D97" i="31"/>
  <c r="E97" i="31"/>
  <c r="F97" i="31"/>
  <c r="G97" i="31"/>
  <c r="A98" i="31"/>
  <c r="B98" i="31"/>
  <c r="C98" i="31"/>
  <c r="D98" i="31"/>
  <c r="E98" i="31"/>
  <c r="F98" i="31"/>
  <c r="G98" i="31"/>
  <c r="A99" i="31"/>
  <c r="B99" i="31"/>
  <c r="C99" i="31"/>
  <c r="D99" i="31"/>
  <c r="E99" i="31"/>
  <c r="F99" i="31"/>
  <c r="G99" i="31"/>
  <c r="A100" i="31"/>
  <c r="B100" i="31"/>
  <c r="C100" i="31"/>
  <c r="D100" i="31"/>
  <c r="E100" i="31"/>
  <c r="F100" i="31"/>
  <c r="G100" i="31"/>
  <c r="A101" i="31"/>
  <c r="B101" i="31"/>
  <c r="C101" i="31"/>
  <c r="D101" i="31"/>
  <c r="E101" i="31"/>
  <c r="F101" i="31"/>
  <c r="G101" i="31"/>
  <c r="A102" i="31"/>
  <c r="B102" i="31"/>
  <c r="C102" i="31"/>
  <c r="D102" i="31"/>
  <c r="E102" i="31"/>
  <c r="F102" i="31"/>
  <c r="G102" i="31"/>
  <c r="A103" i="31"/>
  <c r="B103" i="31"/>
  <c r="C103" i="31"/>
  <c r="D103" i="31"/>
  <c r="E103" i="31"/>
  <c r="F103" i="31"/>
  <c r="G103" i="31"/>
  <c r="A104" i="31"/>
  <c r="B104" i="31"/>
  <c r="C104" i="31"/>
  <c r="D104" i="31"/>
  <c r="E104" i="31"/>
  <c r="F104" i="31"/>
  <c r="G104" i="31"/>
  <c r="A105" i="31"/>
  <c r="B105" i="31"/>
  <c r="C105" i="31"/>
  <c r="D105" i="31"/>
  <c r="E105" i="31"/>
  <c r="F105" i="31"/>
  <c r="G105" i="31"/>
  <c r="A106" i="31"/>
  <c r="B106" i="31"/>
  <c r="C106" i="31"/>
  <c r="D106" i="31"/>
  <c r="E106" i="31"/>
  <c r="F106" i="31"/>
  <c r="G106" i="31"/>
  <c r="A107" i="31"/>
  <c r="B107" i="31"/>
  <c r="C107" i="31"/>
  <c r="D107" i="31"/>
  <c r="E107" i="31"/>
  <c r="K107" i="31" s="1"/>
  <c r="F107" i="31"/>
  <c r="G107" i="31"/>
  <c r="A108" i="31"/>
  <c r="B108" i="31"/>
  <c r="C108" i="31"/>
  <c r="D108" i="31"/>
  <c r="E108" i="31"/>
  <c r="F108" i="31"/>
  <c r="G108" i="31"/>
  <c r="A109" i="31"/>
  <c r="B109" i="31"/>
  <c r="C109" i="31"/>
  <c r="D109" i="31"/>
  <c r="E109" i="31"/>
  <c r="F109" i="31"/>
  <c r="G109" i="31"/>
  <c r="A110" i="31"/>
  <c r="B110" i="31"/>
  <c r="C110" i="31"/>
  <c r="D110" i="31"/>
  <c r="E110" i="31"/>
  <c r="F110" i="31"/>
  <c r="G110" i="31"/>
  <c r="A111" i="31"/>
  <c r="B111" i="31"/>
  <c r="C111" i="31"/>
  <c r="D111" i="31"/>
  <c r="E111" i="31"/>
  <c r="F111" i="31"/>
  <c r="G111" i="31"/>
  <c r="A112" i="31"/>
  <c r="B112" i="31"/>
  <c r="C112" i="31"/>
  <c r="D112" i="31"/>
  <c r="E112" i="31"/>
  <c r="F112" i="31"/>
  <c r="G112" i="31"/>
  <c r="I112" i="31" s="1"/>
  <c r="A113" i="31"/>
  <c r="B113" i="31"/>
  <c r="C113" i="31"/>
  <c r="D113" i="31"/>
  <c r="E113" i="31"/>
  <c r="K113" i="31" s="1"/>
  <c r="F113" i="31"/>
  <c r="G113" i="31"/>
  <c r="A114" i="31"/>
  <c r="B114" i="31"/>
  <c r="C114" i="31"/>
  <c r="D114" i="31"/>
  <c r="E114" i="31"/>
  <c r="F114" i="31"/>
  <c r="G114" i="31"/>
  <c r="A115" i="31"/>
  <c r="B115" i="31"/>
  <c r="C115" i="31"/>
  <c r="D115" i="31"/>
  <c r="E115" i="31"/>
  <c r="F115" i="31"/>
  <c r="G115" i="31"/>
  <c r="A116" i="31"/>
  <c r="B116" i="31"/>
  <c r="C116" i="31"/>
  <c r="D116" i="31"/>
  <c r="E116" i="31"/>
  <c r="L116" i="31" s="1"/>
  <c r="F116" i="31"/>
  <c r="G116" i="31"/>
  <c r="A117" i="31"/>
  <c r="B117" i="31"/>
  <c r="C117" i="31"/>
  <c r="D117" i="31"/>
  <c r="E117" i="31"/>
  <c r="F117" i="31"/>
  <c r="G117" i="31"/>
  <c r="A118" i="31"/>
  <c r="B118" i="31"/>
  <c r="C118" i="31"/>
  <c r="D118" i="31"/>
  <c r="E118" i="31"/>
  <c r="F118" i="31"/>
  <c r="G118" i="31"/>
  <c r="A119" i="31"/>
  <c r="B119" i="31"/>
  <c r="N119" i="31" s="1"/>
  <c r="O119" i="31" s="1"/>
  <c r="R119" i="31" s="1"/>
  <c r="C119" i="31"/>
  <c r="D119" i="31"/>
  <c r="E119" i="31"/>
  <c r="K119" i="31" s="1"/>
  <c r="F119" i="31"/>
  <c r="G119" i="31"/>
  <c r="A120" i="31"/>
  <c r="B120" i="31"/>
  <c r="C120" i="31"/>
  <c r="D120" i="31"/>
  <c r="E120" i="31"/>
  <c r="F120" i="31"/>
  <c r="G120" i="31"/>
  <c r="A121" i="31"/>
  <c r="B121" i="31"/>
  <c r="C121" i="31"/>
  <c r="D121" i="31"/>
  <c r="E121" i="31"/>
  <c r="F121" i="31"/>
  <c r="G121" i="31"/>
  <c r="A122" i="31"/>
  <c r="B122" i="31"/>
  <c r="C122" i="31"/>
  <c r="D122" i="31"/>
  <c r="E122" i="31"/>
  <c r="K122" i="31" s="1"/>
  <c r="F122" i="31"/>
  <c r="G122" i="31"/>
  <c r="A123" i="31"/>
  <c r="B123" i="31"/>
  <c r="C123" i="31"/>
  <c r="D123" i="31"/>
  <c r="E123" i="31"/>
  <c r="F123" i="31"/>
  <c r="G123" i="31"/>
  <c r="A124" i="31"/>
  <c r="B124" i="31"/>
  <c r="C124" i="31"/>
  <c r="D124" i="31"/>
  <c r="E124" i="31"/>
  <c r="F124" i="31"/>
  <c r="G124" i="31"/>
  <c r="A125" i="31"/>
  <c r="B125" i="31"/>
  <c r="C125" i="31"/>
  <c r="D125" i="31"/>
  <c r="E125" i="31"/>
  <c r="K125" i="31" s="1"/>
  <c r="F125" i="31"/>
  <c r="G125" i="31"/>
  <c r="A126" i="31"/>
  <c r="B126" i="31"/>
  <c r="C126" i="31"/>
  <c r="D126" i="31"/>
  <c r="E126" i="31"/>
  <c r="F126" i="31"/>
  <c r="G126" i="31"/>
  <c r="A127" i="31"/>
  <c r="B127" i="31"/>
  <c r="C127" i="31"/>
  <c r="D127" i="31"/>
  <c r="E127" i="31"/>
  <c r="F127" i="31"/>
  <c r="G127" i="31"/>
  <c r="I127" i="31" s="1"/>
  <c r="A128" i="31"/>
  <c r="B128" i="31"/>
  <c r="C128" i="31"/>
  <c r="D128" i="31"/>
  <c r="E128" i="31"/>
  <c r="F128" i="31"/>
  <c r="G128" i="31"/>
  <c r="A129" i="31"/>
  <c r="B129" i="31"/>
  <c r="C129" i="31"/>
  <c r="D129" i="31"/>
  <c r="E129" i="31"/>
  <c r="F129" i="31"/>
  <c r="G129" i="31"/>
  <c r="A130" i="31"/>
  <c r="B130" i="31"/>
  <c r="C130" i="31"/>
  <c r="D130" i="31"/>
  <c r="E130" i="31"/>
  <c r="F130" i="31"/>
  <c r="G130" i="31"/>
  <c r="A131" i="31"/>
  <c r="B131" i="31"/>
  <c r="C131" i="31"/>
  <c r="D131" i="31"/>
  <c r="E131" i="31"/>
  <c r="K131" i="31" s="1"/>
  <c r="F131" i="31"/>
  <c r="G131" i="31"/>
  <c r="A132" i="31"/>
  <c r="B132" i="31"/>
  <c r="C132" i="31"/>
  <c r="D132" i="31"/>
  <c r="E132" i="31"/>
  <c r="F132" i="31"/>
  <c r="G132" i="31"/>
  <c r="A133" i="31"/>
  <c r="B133" i="31"/>
  <c r="C133" i="31"/>
  <c r="D133" i="31"/>
  <c r="E133" i="31"/>
  <c r="F133" i="31"/>
  <c r="G133" i="31"/>
  <c r="A134" i="31"/>
  <c r="B134" i="31"/>
  <c r="C134" i="31"/>
  <c r="D134" i="31"/>
  <c r="E134" i="31"/>
  <c r="K134" i="31" s="1"/>
  <c r="F134" i="31"/>
  <c r="G134" i="31"/>
  <c r="A135" i="31"/>
  <c r="B135" i="31"/>
  <c r="C135" i="31"/>
  <c r="D135" i="31"/>
  <c r="E135" i="31"/>
  <c r="F135" i="31"/>
  <c r="G135" i="31"/>
  <c r="A136" i="31"/>
  <c r="B136" i="31"/>
  <c r="C136" i="31"/>
  <c r="D136" i="31"/>
  <c r="E136" i="31"/>
  <c r="F136" i="31"/>
  <c r="G136" i="31"/>
  <c r="I136" i="31" s="1"/>
  <c r="A137" i="31"/>
  <c r="B137" i="31"/>
  <c r="C137" i="31"/>
  <c r="D137" i="31"/>
  <c r="E137" i="31"/>
  <c r="K137" i="31" s="1"/>
  <c r="F137" i="31"/>
  <c r="G137" i="31"/>
  <c r="A138" i="31"/>
  <c r="B138" i="31"/>
  <c r="C138" i="31"/>
  <c r="D138" i="31"/>
  <c r="E138" i="31"/>
  <c r="F138" i="31"/>
  <c r="G138" i="31"/>
  <c r="A139" i="31"/>
  <c r="B139" i="31"/>
  <c r="C139" i="31"/>
  <c r="D139" i="31"/>
  <c r="E139" i="31"/>
  <c r="F139" i="31"/>
  <c r="G139" i="31"/>
  <c r="I139" i="31" s="1"/>
  <c r="A140" i="31"/>
  <c r="B140" i="31"/>
  <c r="C140" i="31"/>
  <c r="D140" i="31"/>
  <c r="E140" i="31"/>
  <c r="L140" i="31" s="1"/>
  <c r="F140" i="31"/>
  <c r="G140" i="31"/>
  <c r="A141" i="31"/>
  <c r="B141" i="31"/>
  <c r="C141" i="31"/>
  <c r="D141" i="31"/>
  <c r="E141" i="31"/>
  <c r="F141" i="31"/>
  <c r="G141" i="31"/>
  <c r="A142" i="31"/>
  <c r="B142" i="31"/>
  <c r="C142" i="31"/>
  <c r="D142" i="31"/>
  <c r="E142" i="31"/>
  <c r="F142" i="31"/>
  <c r="G142" i="31"/>
  <c r="A143" i="31"/>
  <c r="B143" i="31"/>
  <c r="N143" i="31" s="1"/>
  <c r="O143" i="31" s="1"/>
  <c r="R143" i="31" s="1"/>
  <c r="C143" i="31"/>
  <c r="D143" i="31"/>
  <c r="E143" i="31"/>
  <c r="K143" i="31" s="1"/>
  <c r="F143" i="31"/>
  <c r="G143" i="31"/>
  <c r="A144" i="31"/>
  <c r="B144" i="31"/>
  <c r="C144" i="31"/>
  <c r="D144" i="31"/>
  <c r="E144" i="31"/>
  <c r="F144" i="31"/>
  <c r="G144" i="31"/>
  <c r="A145" i="31"/>
  <c r="B145" i="31"/>
  <c r="C145" i="31"/>
  <c r="D145" i="31"/>
  <c r="E145" i="31"/>
  <c r="F145" i="31"/>
  <c r="G145" i="31"/>
  <c r="A146" i="31"/>
  <c r="B146" i="31"/>
  <c r="C146" i="31"/>
  <c r="D146" i="31"/>
  <c r="E146" i="31"/>
  <c r="K146" i="31" s="1"/>
  <c r="F146" i="31"/>
  <c r="G146" i="31"/>
  <c r="A147" i="31"/>
  <c r="B147" i="31"/>
  <c r="C147" i="31"/>
  <c r="D147" i="31"/>
  <c r="E147" i="31"/>
  <c r="F147" i="31"/>
  <c r="G147" i="31"/>
  <c r="I147" i="31" s="1"/>
  <c r="A148" i="31"/>
  <c r="B148" i="31"/>
  <c r="C148" i="31"/>
  <c r="D148" i="31"/>
  <c r="E148" i="31"/>
  <c r="F148" i="31"/>
  <c r="G148" i="31"/>
  <c r="I148" i="31" s="1"/>
  <c r="A149" i="31"/>
  <c r="B149" i="31"/>
  <c r="C149" i="31"/>
  <c r="D149" i="31"/>
  <c r="E149" i="31"/>
  <c r="K149" i="31" s="1"/>
  <c r="F149" i="31"/>
  <c r="G149" i="31"/>
  <c r="A150" i="31"/>
  <c r="B150" i="31"/>
  <c r="C150" i="31"/>
  <c r="D150" i="31"/>
  <c r="E150" i="31"/>
  <c r="F150" i="31"/>
  <c r="G150" i="31"/>
  <c r="I150" i="31" s="1"/>
  <c r="A151" i="31"/>
  <c r="B151" i="31"/>
  <c r="C151" i="31"/>
  <c r="D151" i="31"/>
  <c r="E151" i="31"/>
  <c r="F151" i="31"/>
  <c r="G151" i="31"/>
  <c r="A152" i="31"/>
  <c r="B152" i="31"/>
  <c r="C152" i="31"/>
  <c r="D152" i="31"/>
  <c r="E152" i="31"/>
  <c r="L152" i="31" s="1"/>
  <c r="F152" i="31"/>
  <c r="G152" i="31"/>
  <c r="A153" i="31"/>
  <c r="B153" i="31"/>
  <c r="C153" i="31"/>
  <c r="D153" i="31"/>
  <c r="K153" i="31" s="1"/>
  <c r="E153" i="31"/>
  <c r="F153" i="31"/>
  <c r="G153" i="31"/>
  <c r="I153" i="31" s="1"/>
  <c r="A154" i="31"/>
  <c r="B154" i="31"/>
  <c r="C154" i="31"/>
  <c r="D154" i="31"/>
  <c r="E154" i="31"/>
  <c r="F154" i="31"/>
  <c r="G154" i="31"/>
  <c r="I154" i="31" s="1"/>
  <c r="A155" i="31"/>
  <c r="B155" i="31"/>
  <c r="C155" i="31"/>
  <c r="D155" i="31"/>
  <c r="E155" i="31"/>
  <c r="K155" i="31" s="1"/>
  <c r="F155" i="31"/>
  <c r="G155" i="31"/>
  <c r="I155" i="31" s="1"/>
  <c r="A156" i="31"/>
  <c r="B156" i="31"/>
  <c r="C156" i="31"/>
  <c r="D156" i="31"/>
  <c r="E156" i="31"/>
  <c r="F156" i="31"/>
  <c r="G156" i="31"/>
  <c r="I156" i="31" s="1"/>
  <c r="A157" i="31"/>
  <c r="B157" i="31"/>
  <c r="N157" i="31" s="1"/>
  <c r="O157" i="31" s="1"/>
  <c r="R157" i="31" s="1"/>
  <c r="V157" i="31" s="1"/>
  <c r="C157" i="31"/>
  <c r="D157" i="31"/>
  <c r="E157" i="31"/>
  <c r="M157" i="31" s="1"/>
  <c r="F157" i="31"/>
  <c r="G157" i="31"/>
  <c r="I157" i="31" s="1"/>
  <c r="A158" i="31"/>
  <c r="B158" i="31"/>
  <c r="C158" i="31"/>
  <c r="D158" i="31"/>
  <c r="E158" i="31"/>
  <c r="K158" i="31" s="1"/>
  <c r="F158" i="31"/>
  <c r="G158" i="31"/>
  <c r="A159" i="31"/>
  <c r="B159" i="31"/>
  <c r="C159" i="31"/>
  <c r="D159" i="31"/>
  <c r="E159" i="31"/>
  <c r="K159" i="31" s="1"/>
  <c r="F159" i="31"/>
  <c r="G159" i="31"/>
  <c r="I159" i="31" s="1"/>
  <c r="A160" i="31"/>
  <c r="B160" i="31"/>
  <c r="C160" i="31"/>
  <c r="D160" i="31"/>
  <c r="E160" i="31"/>
  <c r="K160" i="31" s="1"/>
  <c r="F160" i="31"/>
  <c r="G160" i="31"/>
  <c r="A161" i="31"/>
  <c r="B161" i="31"/>
  <c r="C161" i="31"/>
  <c r="D161" i="31"/>
  <c r="E161" i="31"/>
  <c r="K161" i="31" s="1"/>
  <c r="F161" i="31"/>
  <c r="G161" i="31"/>
  <c r="A162" i="31"/>
  <c r="B162" i="31"/>
  <c r="C162" i="31"/>
  <c r="D162" i="31"/>
  <c r="E162" i="31"/>
  <c r="K162" i="31" s="1"/>
  <c r="F162" i="31"/>
  <c r="G162" i="31"/>
  <c r="I162" i="31" s="1"/>
  <c r="A163" i="31"/>
  <c r="B163" i="31"/>
  <c r="C163" i="31"/>
  <c r="D163" i="31"/>
  <c r="E163" i="31"/>
  <c r="K163" i="31" s="1"/>
  <c r="F163" i="31"/>
  <c r="G163" i="31"/>
  <c r="A164" i="31"/>
  <c r="B164" i="31"/>
  <c r="C164" i="31"/>
  <c r="D164" i="31"/>
  <c r="E164" i="31"/>
  <c r="K164" i="31" s="1"/>
  <c r="F164" i="31"/>
  <c r="G164" i="31"/>
  <c r="A165" i="31"/>
  <c r="B165" i="31"/>
  <c r="C165" i="31"/>
  <c r="D165" i="31"/>
  <c r="E165" i="31"/>
  <c r="K165" i="31" s="1"/>
  <c r="F165" i="31"/>
  <c r="G165" i="31"/>
  <c r="I165" i="31" s="1"/>
  <c r="A166" i="31"/>
  <c r="B166" i="31"/>
  <c r="C166" i="31"/>
  <c r="D166" i="31"/>
  <c r="E166" i="31"/>
  <c r="K166" i="31" s="1"/>
  <c r="F166" i="31"/>
  <c r="G166" i="31"/>
  <c r="A167" i="31"/>
  <c r="B167" i="31"/>
  <c r="C167" i="31"/>
  <c r="D167" i="31"/>
  <c r="E167" i="31"/>
  <c r="K167" i="31" s="1"/>
  <c r="F167" i="31"/>
  <c r="G167" i="31"/>
  <c r="A168" i="31"/>
  <c r="B168" i="31"/>
  <c r="N168" i="31" s="1"/>
  <c r="O168" i="31" s="1"/>
  <c r="R168" i="31" s="1"/>
  <c r="C168" i="31"/>
  <c r="D168" i="31"/>
  <c r="E168" i="31"/>
  <c r="K168" i="31" s="1"/>
  <c r="F168" i="31"/>
  <c r="G168" i="31"/>
  <c r="I168" i="31" s="1"/>
  <c r="A169" i="31"/>
  <c r="B169" i="31"/>
  <c r="N169" i="31" s="1"/>
  <c r="O169" i="31" s="1"/>
  <c r="R169" i="31" s="1"/>
  <c r="V169" i="31" s="1"/>
  <c r="C169" i="31"/>
  <c r="D169" i="31"/>
  <c r="E169" i="31"/>
  <c r="K169" i="31" s="1"/>
  <c r="F169" i="31"/>
  <c r="G169" i="31"/>
  <c r="A170" i="31"/>
  <c r="B170" i="31"/>
  <c r="C170" i="31"/>
  <c r="D170" i="31"/>
  <c r="E170" i="31"/>
  <c r="K170" i="31" s="1"/>
  <c r="N170" i="31" s="1"/>
  <c r="O170" i="31" s="1"/>
  <c r="F170" i="31"/>
  <c r="G170" i="31"/>
  <c r="A171" i="31"/>
  <c r="B171" i="31"/>
  <c r="C171" i="31"/>
  <c r="D171" i="31"/>
  <c r="E171" i="31"/>
  <c r="K171" i="31" s="1"/>
  <c r="F171" i="31"/>
  <c r="G171" i="31"/>
  <c r="I171" i="31" s="1"/>
  <c r="A172" i="31"/>
  <c r="B172" i="31"/>
  <c r="C172" i="31"/>
  <c r="D172" i="31"/>
  <c r="E172" i="31"/>
  <c r="K172" i="31" s="1"/>
  <c r="F172" i="31"/>
  <c r="G172" i="31"/>
  <c r="A173" i="31"/>
  <c r="B173" i="31"/>
  <c r="C173" i="31"/>
  <c r="D173" i="31"/>
  <c r="E173" i="31"/>
  <c r="K173" i="31" s="1"/>
  <c r="F173" i="31"/>
  <c r="G173" i="31"/>
  <c r="A174" i="31"/>
  <c r="B174" i="31"/>
  <c r="C174" i="31"/>
  <c r="D174" i="31"/>
  <c r="E174" i="31"/>
  <c r="K174" i="31" s="1"/>
  <c r="F174" i="31"/>
  <c r="G174" i="31"/>
  <c r="I174" i="31" s="1"/>
  <c r="A175" i="31"/>
  <c r="B175" i="31"/>
  <c r="C175" i="31"/>
  <c r="D175" i="31"/>
  <c r="E175" i="31"/>
  <c r="K175" i="31" s="1"/>
  <c r="F175" i="31"/>
  <c r="G175" i="31"/>
  <c r="A176" i="31"/>
  <c r="B176" i="31"/>
  <c r="C176" i="31"/>
  <c r="D176" i="31"/>
  <c r="E176" i="31"/>
  <c r="K176" i="31" s="1"/>
  <c r="F176" i="31"/>
  <c r="G176" i="31"/>
  <c r="A177" i="31"/>
  <c r="B177" i="31"/>
  <c r="C177" i="31"/>
  <c r="D177" i="31"/>
  <c r="E177" i="31"/>
  <c r="K177" i="31" s="1"/>
  <c r="F177" i="31"/>
  <c r="G177" i="31"/>
  <c r="I177" i="31" s="1"/>
  <c r="A178" i="31"/>
  <c r="B178" i="31"/>
  <c r="C178" i="31"/>
  <c r="D178" i="31"/>
  <c r="E178" i="31"/>
  <c r="K178" i="31" s="1"/>
  <c r="F178" i="31"/>
  <c r="G178" i="31"/>
  <c r="A179" i="31"/>
  <c r="B179" i="31"/>
  <c r="C179" i="31"/>
  <c r="D179" i="31"/>
  <c r="E179" i="31"/>
  <c r="K179" i="31" s="1"/>
  <c r="F179" i="31"/>
  <c r="G179" i="31"/>
  <c r="I15" i="8"/>
  <c r="O15" i="8"/>
  <c r="I16" i="8"/>
  <c r="O16" i="8"/>
  <c r="I17" i="8"/>
  <c r="O17" i="8"/>
  <c r="I18" i="8"/>
  <c r="O18" i="8"/>
  <c r="I19" i="8"/>
  <c r="O19" i="8"/>
  <c r="I20" i="8"/>
  <c r="O20" i="8"/>
  <c r="I21" i="8"/>
  <c r="O21" i="8"/>
  <c r="I22" i="8"/>
  <c r="O22" i="8"/>
  <c r="I23" i="8"/>
  <c r="O23" i="8"/>
  <c r="I24" i="8"/>
  <c r="O24" i="8"/>
  <c r="I25" i="8"/>
  <c r="O25" i="8"/>
  <c r="I26" i="8"/>
  <c r="O26" i="8"/>
  <c r="I27" i="8"/>
  <c r="O27" i="8"/>
  <c r="I28" i="8"/>
  <c r="O28" i="8"/>
  <c r="I29" i="8"/>
  <c r="O29" i="8"/>
  <c r="I30" i="8"/>
  <c r="O30" i="8"/>
  <c r="I31" i="8"/>
  <c r="O31" i="8"/>
  <c r="I32" i="8"/>
  <c r="O32" i="8"/>
  <c r="I33" i="8"/>
  <c r="O33" i="8"/>
  <c r="I34" i="8"/>
  <c r="O34" i="8"/>
  <c r="I35" i="8"/>
  <c r="O35" i="8"/>
  <c r="I36" i="8"/>
  <c r="O36" i="8"/>
  <c r="I37" i="8"/>
  <c r="O37" i="8"/>
  <c r="I38" i="8"/>
  <c r="O38" i="8"/>
  <c r="I39" i="8"/>
  <c r="O39" i="8"/>
  <c r="I40" i="8"/>
  <c r="O40" i="8"/>
  <c r="I41" i="8"/>
  <c r="O41" i="8"/>
  <c r="I42" i="8"/>
  <c r="O42" i="8"/>
  <c r="I43" i="8"/>
  <c r="O43" i="8"/>
  <c r="I44" i="8"/>
  <c r="O44" i="8"/>
  <c r="I45" i="8"/>
  <c r="O45" i="8"/>
  <c r="I46" i="8"/>
  <c r="O46" i="8"/>
  <c r="I47" i="8"/>
  <c r="O47" i="8"/>
  <c r="I48" i="8"/>
  <c r="O48" i="8"/>
  <c r="I49" i="8"/>
  <c r="O49" i="8"/>
  <c r="I50" i="8"/>
  <c r="O50" i="8"/>
  <c r="I51" i="8"/>
  <c r="O51" i="8"/>
  <c r="I52" i="8"/>
  <c r="O52" i="8"/>
  <c r="I53" i="8"/>
  <c r="O53" i="8"/>
  <c r="I54" i="8"/>
  <c r="O54" i="8"/>
  <c r="I55" i="8"/>
  <c r="O55" i="8"/>
  <c r="I56" i="8"/>
  <c r="O56" i="8"/>
  <c r="I57" i="8"/>
  <c r="O57" i="8"/>
  <c r="I58" i="8"/>
  <c r="O58" i="8"/>
  <c r="I59" i="8"/>
  <c r="O59" i="8"/>
  <c r="I60" i="8"/>
  <c r="O60" i="8"/>
  <c r="I61" i="8"/>
  <c r="O61" i="8"/>
  <c r="I62" i="8"/>
  <c r="O62" i="8"/>
  <c r="I63" i="8"/>
  <c r="O63" i="8"/>
  <c r="I64" i="8"/>
  <c r="O64" i="8"/>
  <c r="I65" i="8"/>
  <c r="O65" i="8"/>
  <c r="I66" i="8"/>
  <c r="O66" i="8"/>
  <c r="I67" i="8"/>
  <c r="O67" i="8"/>
  <c r="I68" i="8"/>
  <c r="O68" i="8"/>
  <c r="I69" i="8"/>
  <c r="O69" i="8"/>
  <c r="I70" i="8"/>
  <c r="O70" i="8"/>
  <c r="I71" i="8"/>
  <c r="O71" i="8"/>
  <c r="I72" i="8"/>
  <c r="O72" i="8"/>
  <c r="I73" i="8"/>
  <c r="O73" i="8"/>
  <c r="I74" i="8"/>
  <c r="O74" i="8"/>
  <c r="I75" i="8"/>
  <c r="O75" i="8"/>
  <c r="I76" i="8"/>
  <c r="O76" i="8"/>
  <c r="I77" i="8"/>
  <c r="O77" i="8"/>
  <c r="I78" i="8"/>
  <c r="O78" i="8"/>
  <c r="I79" i="8"/>
  <c r="O79" i="8"/>
  <c r="I80" i="8"/>
  <c r="O80" i="8"/>
  <c r="I81" i="8"/>
  <c r="O81" i="8"/>
  <c r="I82" i="8"/>
  <c r="O82" i="8"/>
  <c r="I83" i="8"/>
  <c r="O83" i="8"/>
  <c r="I84" i="8"/>
  <c r="O84" i="8"/>
  <c r="I85" i="8"/>
  <c r="O85" i="8"/>
  <c r="I86" i="8"/>
  <c r="O86" i="8"/>
  <c r="I87" i="8"/>
  <c r="O87" i="8"/>
  <c r="I88" i="8"/>
  <c r="O88" i="8"/>
  <c r="I89" i="8"/>
  <c r="O89" i="8"/>
  <c r="I90" i="8"/>
  <c r="O90" i="8"/>
  <c r="I91" i="8"/>
  <c r="O91" i="8"/>
  <c r="I92" i="8"/>
  <c r="O92" i="8"/>
  <c r="I93" i="8"/>
  <c r="O93" i="8"/>
  <c r="I94" i="8"/>
  <c r="O94" i="8"/>
  <c r="I95" i="8"/>
  <c r="O95" i="8"/>
  <c r="I96" i="8"/>
  <c r="O96" i="8"/>
  <c r="I97" i="8"/>
  <c r="O97" i="8"/>
  <c r="I98" i="8"/>
  <c r="O98" i="8"/>
  <c r="I99" i="8"/>
  <c r="O99" i="8"/>
  <c r="I100" i="8"/>
  <c r="O100" i="8"/>
  <c r="I101" i="8"/>
  <c r="O101" i="8"/>
  <c r="I102" i="8"/>
  <c r="O102" i="8"/>
  <c r="I103" i="8"/>
  <c r="O103" i="8"/>
  <c r="I104" i="8"/>
  <c r="O104" i="8"/>
  <c r="I105" i="8"/>
  <c r="O105" i="8"/>
  <c r="I106" i="8"/>
  <c r="O106" i="8"/>
  <c r="I107" i="8"/>
  <c r="O107" i="8"/>
  <c r="I108" i="8"/>
  <c r="O108" i="8"/>
  <c r="I109" i="8"/>
  <c r="O109" i="8"/>
  <c r="I110" i="8"/>
  <c r="O110" i="8"/>
  <c r="I111" i="8"/>
  <c r="O111" i="8"/>
  <c r="I112" i="8"/>
  <c r="O112" i="8"/>
  <c r="I113" i="8"/>
  <c r="O113" i="8"/>
  <c r="I114" i="8"/>
  <c r="O114" i="8"/>
  <c r="I115" i="8"/>
  <c r="O115" i="8"/>
  <c r="I116" i="8"/>
  <c r="O116" i="8"/>
  <c r="I117" i="8"/>
  <c r="O117" i="8"/>
  <c r="I118" i="8"/>
  <c r="O118" i="8"/>
  <c r="I119" i="8"/>
  <c r="O119" i="8"/>
  <c r="I120" i="8"/>
  <c r="O120" i="8"/>
  <c r="I121" i="8"/>
  <c r="O121" i="8"/>
  <c r="I122" i="8"/>
  <c r="O122" i="8"/>
  <c r="I123" i="8"/>
  <c r="O123" i="8"/>
  <c r="I124" i="8"/>
  <c r="O124" i="8"/>
  <c r="I125" i="8"/>
  <c r="O125" i="8"/>
  <c r="I126" i="8"/>
  <c r="O126" i="8"/>
  <c r="I127" i="8"/>
  <c r="O127" i="8"/>
  <c r="I128" i="8"/>
  <c r="O128" i="8"/>
  <c r="I129" i="8"/>
  <c r="O129" i="8"/>
  <c r="I130" i="8"/>
  <c r="O130" i="8"/>
  <c r="I131" i="8"/>
  <c r="O131" i="8"/>
  <c r="I132" i="8"/>
  <c r="O132" i="8"/>
  <c r="I133" i="8"/>
  <c r="O133" i="8"/>
  <c r="I134" i="8"/>
  <c r="O134" i="8"/>
  <c r="I135" i="8"/>
  <c r="O135" i="8"/>
  <c r="I136" i="8"/>
  <c r="O136" i="8"/>
  <c r="I137" i="8"/>
  <c r="O137" i="8"/>
  <c r="I138" i="8"/>
  <c r="O138" i="8"/>
  <c r="I139" i="8"/>
  <c r="O139" i="8"/>
  <c r="I140" i="8"/>
  <c r="O140" i="8"/>
  <c r="I141" i="8"/>
  <c r="O141" i="8"/>
  <c r="I142" i="8"/>
  <c r="O142" i="8"/>
  <c r="I143" i="8"/>
  <c r="O143" i="8"/>
  <c r="I144" i="8"/>
  <c r="O144" i="8"/>
  <c r="I145" i="8"/>
  <c r="O145" i="8"/>
  <c r="I146" i="8"/>
  <c r="O146" i="8"/>
  <c r="I147" i="8"/>
  <c r="O147" i="8"/>
  <c r="I148" i="8"/>
  <c r="O148" i="8"/>
  <c r="I149" i="8"/>
  <c r="O149" i="8"/>
  <c r="I150" i="8"/>
  <c r="O150" i="8"/>
  <c r="I151" i="8"/>
  <c r="O151" i="8"/>
  <c r="I152" i="8"/>
  <c r="O152" i="8"/>
  <c r="I153" i="8"/>
  <c r="O153" i="8"/>
  <c r="I154" i="8"/>
  <c r="O154" i="8"/>
  <c r="I155" i="8"/>
  <c r="O155" i="8"/>
  <c r="I156" i="8"/>
  <c r="O156" i="8"/>
  <c r="I157" i="8"/>
  <c r="O157" i="8"/>
  <c r="I158" i="8"/>
  <c r="O158" i="8"/>
  <c r="I159" i="8"/>
  <c r="O159" i="8"/>
  <c r="I160" i="8"/>
  <c r="O160" i="8"/>
  <c r="I161" i="8"/>
  <c r="O161" i="8"/>
  <c r="I162" i="8"/>
  <c r="O162" i="8"/>
  <c r="I163" i="8"/>
  <c r="O163" i="8"/>
  <c r="I164" i="8"/>
  <c r="O164" i="8"/>
  <c r="I165" i="8"/>
  <c r="O165" i="8"/>
  <c r="I166" i="8"/>
  <c r="O166" i="8"/>
  <c r="I167" i="8"/>
  <c r="O167" i="8"/>
  <c r="I168" i="8"/>
  <c r="O168" i="8"/>
  <c r="I169" i="8"/>
  <c r="O169" i="8"/>
  <c r="I170" i="8"/>
  <c r="O170" i="8"/>
  <c r="I171" i="8"/>
  <c r="O171" i="8"/>
  <c r="I172" i="8"/>
  <c r="O172" i="8"/>
  <c r="I173" i="8"/>
  <c r="O173" i="8"/>
  <c r="I174" i="8"/>
  <c r="O174" i="8"/>
  <c r="I175" i="8"/>
  <c r="O175" i="8"/>
  <c r="I176" i="8"/>
  <c r="O176" i="8"/>
  <c r="I177" i="8"/>
  <c r="O177" i="8"/>
  <c r="I178" i="8"/>
  <c r="O178" i="8"/>
  <c r="I179" i="8"/>
  <c r="O179"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30" i="8"/>
  <c r="B30" i="8"/>
  <c r="C30" i="8"/>
  <c r="D30" i="8"/>
  <c r="E30" i="8"/>
  <c r="F30" i="8"/>
  <c r="G30" i="8"/>
  <c r="A31" i="8"/>
  <c r="B31" i="8"/>
  <c r="C31" i="8"/>
  <c r="D31" i="8"/>
  <c r="E31" i="8"/>
  <c r="F31" i="8"/>
  <c r="G31" i="8"/>
  <c r="A32" i="8"/>
  <c r="B32" i="8"/>
  <c r="C32" i="8"/>
  <c r="D32" i="8"/>
  <c r="E32" i="8"/>
  <c r="F32" i="8"/>
  <c r="G32" i="8"/>
  <c r="A33" i="8"/>
  <c r="B33" i="8"/>
  <c r="C33" i="8"/>
  <c r="D33" i="8"/>
  <c r="E33" i="8"/>
  <c r="F33" i="8"/>
  <c r="G33" i="8"/>
  <c r="A34" i="8"/>
  <c r="B34" i="8"/>
  <c r="C34" i="8"/>
  <c r="D34" i="8"/>
  <c r="E34" i="8"/>
  <c r="F34" i="8"/>
  <c r="G34" i="8"/>
  <c r="A35" i="8"/>
  <c r="B35" i="8"/>
  <c r="C35" i="8"/>
  <c r="D35" i="8"/>
  <c r="E35" i="8"/>
  <c r="F35" i="8"/>
  <c r="G35" i="8"/>
  <c r="A36" i="8"/>
  <c r="B36" i="8"/>
  <c r="C36" i="8"/>
  <c r="D36" i="8"/>
  <c r="E36" i="8"/>
  <c r="F36" i="8"/>
  <c r="G36" i="8"/>
  <c r="A37" i="8"/>
  <c r="B37" i="8"/>
  <c r="C37" i="8"/>
  <c r="D37" i="8"/>
  <c r="E37" i="8"/>
  <c r="F37" i="8"/>
  <c r="G37" i="8"/>
  <c r="A38" i="8"/>
  <c r="B38" i="8"/>
  <c r="C38" i="8"/>
  <c r="D38" i="8"/>
  <c r="E38" i="8"/>
  <c r="F38" i="8"/>
  <c r="G38" i="8"/>
  <c r="A39" i="8"/>
  <c r="B39" i="8"/>
  <c r="C39" i="8"/>
  <c r="D39" i="8"/>
  <c r="E39" i="8"/>
  <c r="F39" i="8"/>
  <c r="G39" i="8"/>
  <c r="A40" i="8"/>
  <c r="B40" i="8"/>
  <c r="C40" i="8"/>
  <c r="D40" i="8"/>
  <c r="E40" i="8"/>
  <c r="F40" i="8"/>
  <c r="G40" i="8"/>
  <c r="A41" i="8"/>
  <c r="B41" i="8"/>
  <c r="C41" i="8"/>
  <c r="D41" i="8"/>
  <c r="E41" i="8"/>
  <c r="F41" i="8"/>
  <c r="G41" i="8"/>
  <c r="A42" i="8"/>
  <c r="B42" i="8"/>
  <c r="C42" i="8"/>
  <c r="D42" i="8"/>
  <c r="E42" i="8"/>
  <c r="F42" i="8"/>
  <c r="G42" i="8"/>
  <c r="A43" i="8"/>
  <c r="B43" i="8"/>
  <c r="C43" i="8"/>
  <c r="D43" i="8"/>
  <c r="E43" i="8"/>
  <c r="F43" i="8"/>
  <c r="G43" i="8"/>
  <c r="A44" i="8"/>
  <c r="B44" i="8"/>
  <c r="C44" i="8"/>
  <c r="D44" i="8"/>
  <c r="E44" i="8"/>
  <c r="F44" i="8"/>
  <c r="G44" i="8"/>
  <c r="A45" i="8"/>
  <c r="B45" i="8"/>
  <c r="C45" i="8"/>
  <c r="D45" i="8"/>
  <c r="E45" i="8"/>
  <c r="F45" i="8"/>
  <c r="G45" i="8"/>
  <c r="A46" i="8"/>
  <c r="B46" i="8"/>
  <c r="C46" i="8"/>
  <c r="D46" i="8"/>
  <c r="E46" i="8"/>
  <c r="F46" i="8"/>
  <c r="G46" i="8"/>
  <c r="A47" i="8"/>
  <c r="B47" i="8"/>
  <c r="C47" i="8"/>
  <c r="D47" i="8"/>
  <c r="E47" i="8"/>
  <c r="F47" i="8"/>
  <c r="G47" i="8"/>
  <c r="A48" i="8"/>
  <c r="B48" i="8"/>
  <c r="C48" i="8"/>
  <c r="D48" i="8"/>
  <c r="E48" i="8"/>
  <c r="F48" i="8"/>
  <c r="G48" i="8"/>
  <c r="A49" i="8"/>
  <c r="B49" i="8"/>
  <c r="C49" i="8"/>
  <c r="D49" i="8"/>
  <c r="E49" i="8"/>
  <c r="F49" i="8"/>
  <c r="G49" i="8"/>
  <c r="A50" i="8"/>
  <c r="B50" i="8"/>
  <c r="C50" i="8"/>
  <c r="D50" i="8"/>
  <c r="E50" i="8"/>
  <c r="F50" i="8"/>
  <c r="G50" i="8"/>
  <c r="A51" i="8"/>
  <c r="B51" i="8"/>
  <c r="C51" i="8"/>
  <c r="D51" i="8"/>
  <c r="E51" i="8"/>
  <c r="F51" i="8"/>
  <c r="G51" i="8"/>
  <c r="A52" i="8"/>
  <c r="B52" i="8"/>
  <c r="C52" i="8"/>
  <c r="D52" i="8"/>
  <c r="E52" i="8"/>
  <c r="F52" i="8"/>
  <c r="G52" i="8"/>
  <c r="A53" i="8"/>
  <c r="B53" i="8"/>
  <c r="C53" i="8"/>
  <c r="D53" i="8"/>
  <c r="E53" i="8"/>
  <c r="F53" i="8"/>
  <c r="G53" i="8"/>
  <c r="A54" i="8"/>
  <c r="B54" i="8"/>
  <c r="C54" i="8"/>
  <c r="D54" i="8"/>
  <c r="E54" i="8"/>
  <c r="F54" i="8"/>
  <c r="G54" i="8"/>
  <c r="A55" i="8"/>
  <c r="B55" i="8"/>
  <c r="C55" i="8"/>
  <c r="D55" i="8"/>
  <c r="E55" i="8"/>
  <c r="F55" i="8"/>
  <c r="G55" i="8"/>
  <c r="A56" i="8"/>
  <c r="B56" i="8"/>
  <c r="C56" i="8"/>
  <c r="D56" i="8"/>
  <c r="E56" i="8"/>
  <c r="F56" i="8"/>
  <c r="G56" i="8"/>
  <c r="A57" i="8"/>
  <c r="B57" i="8"/>
  <c r="C57" i="8"/>
  <c r="D57" i="8"/>
  <c r="E57" i="8"/>
  <c r="F57" i="8"/>
  <c r="G57" i="8"/>
  <c r="A58" i="8"/>
  <c r="B58" i="8"/>
  <c r="C58" i="8"/>
  <c r="D58" i="8"/>
  <c r="E58" i="8"/>
  <c r="F58" i="8"/>
  <c r="G58" i="8"/>
  <c r="A59" i="8"/>
  <c r="B59" i="8"/>
  <c r="C59" i="8"/>
  <c r="D59" i="8"/>
  <c r="E59" i="8"/>
  <c r="F59" i="8"/>
  <c r="G59" i="8"/>
  <c r="A60" i="8"/>
  <c r="B60" i="8"/>
  <c r="C60" i="8"/>
  <c r="D60" i="8"/>
  <c r="E60" i="8"/>
  <c r="F60" i="8"/>
  <c r="G60" i="8"/>
  <c r="A61" i="8"/>
  <c r="B61" i="8"/>
  <c r="C61" i="8"/>
  <c r="D61" i="8"/>
  <c r="E61" i="8"/>
  <c r="F61" i="8"/>
  <c r="G61" i="8"/>
  <c r="A62" i="8"/>
  <c r="B62" i="8"/>
  <c r="C62" i="8"/>
  <c r="D62" i="8"/>
  <c r="E62" i="8"/>
  <c r="F62" i="8"/>
  <c r="G62" i="8"/>
  <c r="A63" i="8"/>
  <c r="B63" i="8"/>
  <c r="C63" i="8"/>
  <c r="D63" i="8"/>
  <c r="E63" i="8"/>
  <c r="F63" i="8"/>
  <c r="G63" i="8"/>
  <c r="A64" i="8"/>
  <c r="B64" i="8"/>
  <c r="C64" i="8"/>
  <c r="D64" i="8"/>
  <c r="E64" i="8"/>
  <c r="F64" i="8"/>
  <c r="G64" i="8"/>
  <c r="A65" i="8"/>
  <c r="B65" i="8"/>
  <c r="C65" i="8"/>
  <c r="D65" i="8"/>
  <c r="E65" i="8"/>
  <c r="F65" i="8"/>
  <c r="G65" i="8"/>
  <c r="A66" i="8"/>
  <c r="B66" i="8"/>
  <c r="C66" i="8"/>
  <c r="D66" i="8"/>
  <c r="E66" i="8"/>
  <c r="F66" i="8"/>
  <c r="G66" i="8"/>
  <c r="A67" i="8"/>
  <c r="B67" i="8"/>
  <c r="C67" i="8"/>
  <c r="D67" i="8"/>
  <c r="E67" i="8"/>
  <c r="F67" i="8"/>
  <c r="G67" i="8"/>
  <c r="A68" i="8"/>
  <c r="B68" i="8"/>
  <c r="C68" i="8"/>
  <c r="D68" i="8"/>
  <c r="E68" i="8"/>
  <c r="F68" i="8"/>
  <c r="G68" i="8"/>
  <c r="A69" i="8"/>
  <c r="B69" i="8"/>
  <c r="C69" i="8"/>
  <c r="D69" i="8"/>
  <c r="E69" i="8"/>
  <c r="F69" i="8"/>
  <c r="G69" i="8"/>
  <c r="A70" i="8"/>
  <c r="B70" i="8"/>
  <c r="C70" i="8"/>
  <c r="D70" i="8"/>
  <c r="E70" i="8"/>
  <c r="F70" i="8"/>
  <c r="G70" i="8"/>
  <c r="A71" i="8"/>
  <c r="B71" i="8"/>
  <c r="C71" i="8"/>
  <c r="D71" i="8"/>
  <c r="E71" i="8"/>
  <c r="F71" i="8"/>
  <c r="G71" i="8"/>
  <c r="A72" i="8"/>
  <c r="B72" i="8"/>
  <c r="C72" i="8"/>
  <c r="D72" i="8"/>
  <c r="E72" i="8"/>
  <c r="F72" i="8"/>
  <c r="G72" i="8"/>
  <c r="A73" i="8"/>
  <c r="B73" i="8"/>
  <c r="C73" i="8"/>
  <c r="D73" i="8"/>
  <c r="E73" i="8"/>
  <c r="F73" i="8"/>
  <c r="G73" i="8"/>
  <c r="A74" i="8"/>
  <c r="B74" i="8"/>
  <c r="C74" i="8"/>
  <c r="D74" i="8"/>
  <c r="E74" i="8"/>
  <c r="F74" i="8"/>
  <c r="G74" i="8"/>
  <c r="A75" i="8"/>
  <c r="B75" i="8"/>
  <c r="C75" i="8"/>
  <c r="D75" i="8"/>
  <c r="E75" i="8"/>
  <c r="F75" i="8"/>
  <c r="G75" i="8"/>
  <c r="A76" i="8"/>
  <c r="B76" i="8"/>
  <c r="C76" i="8"/>
  <c r="D76" i="8"/>
  <c r="E76" i="8"/>
  <c r="F76" i="8"/>
  <c r="G76" i="8"/>
  <c r="A77" i="8"/>
  <c r="B77" i="8"/>
  <c r="C77" i="8"/>
  <c r="D77" i="8"/>
  <c r="E77" i="8"/>
  <c r="F77" i="8"/>
  <c r="G77" i="8"/>
  <c r="A78" i="8"/>
  <c r="B78" i="8"/>
  <c r="C78" i="8"/>
  <c r="D78" i="8"/>
  <c r="E78" i="8"/>
  <c r="F78" i="8"/>
  <c r="G78" i="8"/>
  <c r="A79" i="8"/>
  <c r="B79" i="8"/>
  <c r="C79" i="8"/>
  <c r="D79" i="8"/>
  <c r="E79" i="8"/>
  <c r="F79" i="8"/>
  <c r="G79" i="8"/>
  <c r="A80" i="8"/>
  <c r="B80" i="8"/>
  <c r="C80" i="8"/>
  <c r="D80" i="8"/>
  <c r="E80" i="8"/>
  <c r="F80" i="8"/>
  <c r="G80" i="8"/>
  <c r="A81" i="8"/>
  <c r="B81" i="8"/>
  <c r="C81" i="8"/>
  <c r="D81" i="8"/>
  <c r="E81" i="8"/>
  <c r="F81" i="8"/>
  <c r="G81" i="8"/>
  <c r="A82" i="8"/>
  <c r="B82" i="8"/>
  <c r="C82" i="8"/>
  <c r="D82" i="8"/>
  <c r="E82" i="8"/>
  <c r="F82" i="8"/>
  <c r="G82" i="8"/>
  <c r="A83" i="8"/>
  <c r="B83" i="8"/>
  <c r="C83" i="8"/>
  <c r="D83" i="8"/>
  <c r="E83" i="8"/>
  <c r="F83" i="8"/>
  <c r="G83" i="8"/>
  <c r="A84" i="8"/>
  <c r="B84" i="8"/>
  <c r="C84" i="8"/>
  <c r="D84" i="8"/>
  <c r="E84" i="8"/>
  <c r="F84" i="8"/>
  <c r="G84" i="8"/>
  <c r="A85" i="8"/>
  <c r="B85" i="8"/>
  <c r="C85" i="8"/>
  <c r="D85" i="8"/>
  <c r="E85" i="8"/>
  <c r="F85" i="8"/>
  <c r="G85" i="8"/>
  <c r="A86" i="8"/>
  <c r="B86" i="8"/>
  <c r="C86" i="8"/>
  <c r="D86" i="8"/>
  <c r="E86" i="8"/>
  <c r="F86" i="8"/>
  <c r="G86" i="8"/>
  <c r="A87" i="8"/>
  <c r="B87" i="8"/>
  <c r="C87" i="8"/>
  <c r="D87" i="8"/>
  <c r="E87" i="8"/>
  <c r="F87" i="8"/>
  <c r="G87" i="8"/>
  <c r="A88" i="8"/>
  <c r="B88" i="8"/>
  <c r="C88" i="8"/>
  <c r="D88" i="8"/>
  <c r="E88" i="8"/>
  <c r="F88" i="8"/>
  <c r="G88" i="8"/>
  <c r="A89" i="8"/>
  <c r="B89" i="8"/>
  <c r="C89" i="8"/>
  <c r="D89" i="8"/>
  <c r="E89" i="8"/>
  <c r="F89" i="8"/>
  <c r="G89" i="8"/>
  <c r="A90" i="8"/>
  <c r="B90" i="8"/>
  <c r="C90" i="8"/>
  <c r="D90" i="8"/>
  <c r="E90" i="8"/>
  <c r="F90" i="8"/>
  <c r="G90" i="8"/>
  <c r="A91" i="8"/>
  <c r="B91" i="8"/>
  <c r="C91" i="8"/>
  <c r="D91" i="8"/>
  <c r="E91" i="8"/>
  <c r="F91" i="8"/>
  <c r="G91" i="8"/>
  <c r="A92" i="8"/>
  <c r="B92" i="8"/>
  <c r="C92" i="8"/>
  <c r="D92" i="8"/>
  <c r="E92" i="8"/>
  <c r="F92" i="8"/>
  <c r="G92" i="8"/>
  <c r="A93" i="8"/>
  <c r="B93" i="8"/>
  <c r="C93" i="8"/>
  <c r="D93" i="8"/>
  <c r="E93" i="8"/>
  <c r="F93" i="8"/>
  <c r="G93" i="8"/>
  <c r="A94" i="8"/>
  <c r="B94" i="8"/>
  <c r="C94" i="8"/>
  <c r="D94" i="8"/>
  <c r="E94" i="8"/>
  <c r="F94" i="8"/>
  <c r="G94" i="8"/>
  <c r="A95" i="8"/>
  <c r="B95" i="8"/>
  <c r="C95" i="8"/>
  <c r="D95" i="8"/>
  <c r="E95" i="8"/>
  <c r="F95" i="8"/>
  <c r="G95" i="8"/>
  <c r="A96" i="8"/>
  <c r="B96" i="8"/>
  <c r="C96" i="8"/>
  <c r="D96" i="8"/>
  <c r="E96" i="8"/>
  <c r="F96" i="8"/>
  <c r="G96" i="8"/>
  <c r="A97" i="8"/>
  <c r="B97" i="8"/>
  <c r="C97" i="8"/>
  <c r="D97" i="8"/>
  <c r="E97" i="8"/>
  <c r="F97" i="8"/>
  <c r="G97" i="8"/>
  <c r="A98" i="8"/>
  <c r="B98" i="8"/>
  <c r="C98" i="8"/>
  <c r="D98" i="8"/>
  <c r="E98" i="8"/>
  <c r="F98" i="8"/>
  <c r="G98" i="8"/>
  <c r="A99" i="8"/>
  <c r="B99" i="8"/>
  <c r="C99" i="8"/>
  <c r="D99" i="8"/>
  <c r="E99" i="8"/>
  <c r="F99" i="8"/>
  <c r="G99" i="8"/>
  <c r="A100" i="8"/>
  <c r="B100" i="8"/>
  <c r="C100" i="8"/>
  <c r="D100" i="8"/>
  <c r="E100" i="8"/>
  <c r="F100" i="8"/>
  <c r="G100" i="8"/>
  <c r="A101" i="8"/>
  <c r="B101" i="8"/>
  <c r="C101" i="8"/>
  <c r="D101" i="8"/>
  <c r="E101" i="8"/>
  <c r="F101" i="8"/>
  <c r="G101" i="8"/>
  <c r="A102" i="8"/>
  <c r="B102" i="8"/>
  <c r="C102" i="8"/>
  <c r="D102" i="8"/>
  <c r="E102" i="8"/>
  <c r="F102" i="8"/>
  <c r="G102" i="8"/>
  <c r="A103" i="8"/>
  <c r="B103" i="8"/>
  <c r="C103" i="8"/>
  <c r="D103" i="8"/>
  <c r="E103" i="8"/>
  <c r="F103" i="8"/>
  <c r="G103" i="8"/>
  <c r="A104" i="8"/>
  <c r="B104" i="8"/>
  <c r="C104" i="8"/>
  <c r="D104" i="8"/>
  <c r="E104" i="8"/>
  <c r="F104" i="8"/>
  <c r="G104" i="8"/>
  <c r="A105" i="8"/>
  <c r="B105" i="8"/>
  <c r="C105" i="8"/>
  <c r="D105" i="8"/>
  <c r="E105" i="8"/>
  <c r="F105" i="8"/>
  <c r="G105" i="8"/>
  <c r="A106" i="8"/>
  <c r="B106" i="8"/>
  <c r="C106" i="8"/>
  <c r="D106" i="8"/>
  <c r="E106" i="8"/>
  <c r="F106" i="8"/>
  <c r="G106" i="8"/>
  <c r="A107" i="8"/>
  <c r="B107" i="8"/>
  <c r="C107" i="8"/>
  <c r="D107" i="8"/>
  <c r="E107" i="8"/>
  <c r="F107" i="8"/>
  <c r="G107" i="8"/>
  <c r="A108" i="8"/>
  <c r="B108" i="8"/>
  <c r="C108" i="8"/>
  <c r="D108" i="8"/>
  <c r="E108" i="8"/>
  <c r="F108" i="8"/>
  <c r="G108" i="8"/>
  <c r="A109" i="8"/>
  <c r="B109" i="8"/>
  <c r="C109" i="8"/>
  <c r="D109" i="8"/>
  <c r="E109" i="8"/>
  <c r="F109" i="8"/>
  <c r="G109" i="8"/>
  <c r="A110" i="8"/>
  <c r="B110" i="8"/>
  <c r="C110" i="8"/>
  <c r="D110" i="8"/>
  <c r="E110" i="8"/>
  <c r="F110" i="8"/>
  <c r="G110" i="8"/>
  <c r="A111" i="8"/>
  <c r="B111" i="8"/>
  <c r="C111" i="8"/>
  <c r="D111" i="8"/>
  <c r="E111" i="8"/>
  <c r="F111" i="8"/>
  <c r="G111" i="8"/>
  <c r="A112" i="8"/>
  <c r="B112" i="8"/>
  <c r="C112" i="8"/>
  <c r="D112" i="8"/>
  <c r="E112" i="8"/>
  <c r="F112" i="8"/>
  <c r="G112" i="8"/>
  <c r="A113" i="8"/>
  <c r="B113" i="8"/>
  <c r="C113" i="8"/>
  <c r="D113" i="8"/>
  <c r="E113" i="8"/>
  <c r="F113" i="8"/>
  <c r="G113" i="8"/>
  <c r="A114" i="8"/>
  <c r="B114" i="8"/>
  <c r="C114" i="8"/>
  <c r="D114" i="8"/>
  <c r="E114" i="8"/>
  <c r="F114" i="8"/>
  <c r="G114" i="8"/>
  <c r="A115" i="8"/>
  <c r="B115" i="8"/>
  <c r="C115" i="8"/>
  <c r="D115" i="8"/>
  <c r="E115" i="8"/>
  <c r="F115" i="8"/>
  <c r="G115" i="8"/>
  <c r="A116" i="8"/>
  <c r="B116" i="8"/>
  <c r="C116" i="8"/>
  <c r="D116" i="8"/>
  <c r="E116" i="8"/>
  <c r="F116" i="8"/>
  <c r="G116" i="8"/>
  <c r="A117" i="8"/>
  <c r="B117" i="8"/>
  <c r="C117" i="8"/>
  <c r="D117" i="8"/>
  <c r="E117" i="8"/>
  <c r="F117" i="8"/>
  <c r="G117" i="8"/>
  <c r="A118" i="8"/>
  <c r="B118" i="8"/>
  <c r="C118" i="8"/>
  <c r="D118" i="8"/>
  <c r="E118" i="8"/>
  <c r="F118" i="8"/>
  <c r="G118" i="8"/>
  <c r="A119" i="8"/>
  <c r="B119" i="8"/>
  <c r="C119" i="8"/>
  <c r="D119" i="8"/>
  <c r="E119" i="8"/>
  <c r="F119" i="8"/>
  <c r="G119" i="8"/>
  <c r="A120" i="8"/>
  <c r="B120" i="8"/>
  <c r="C120" i="8"/>
  <c r="D120" i="8"/>
  <c r="E120" i="8"/>
  <c r="F120" i="8"/>
  <c r="G120" i="8"/>
  <c r="A121" i="8"/>
  <c r="B121" i="8"/>
  <c r="C121" i="8"/>
  <c r="D121" i="8"/>
  <c r="E121" i="8"/>
  <c r="F121" i="8"/>
  <c r="G121" i="8"/>
  <c r="A122" i="8"/>
  <c r="B122" i="8"/>
  <c r="C122" i="8"/>
  <c r="D122" i="8"/>
  <c r="E122" i="8"/>
  <c r="F122" i="8"/>
  <c r="G122" i="8"/>
  <c r="A123" i="8"/>
  <c r="B123" i="8"/>
  <c r="C123" i="8"/>
  <c r="D123" i="8"/>
  <c r="E123" i="8"/>
  <c r="F123" i="8"/>
  <c r="G123" i="8"/>
  <c r="A124" i="8"/>
  <c r="B124" i="8"/>
  <c r="C124" i="8"/>
  <c r="D124" i="8"/>
  <c r="E124" i="8"/>
  <c r="F124" i="8"/>
  <c r="G124" i="8"/>
  <c r="A125" i="8"/>
  <c r="B125" i="8"/>
  <c r="C125" i="8"/>
  <c r="D125" i="8"/>
  <c r="E125" i="8"/>
  <c r="F125" i="8"/>
  <c r="G125" i="8"/>
  <c r="A126" i="8"/>
  <c r="B126" i="8"/>
  <c r="C126" i="8"/>
  <c r="D126" i="8"/>
  <c r="E126" i="8"/>
  <c r="F126" i="8"/>
  <c r="G126" i="8"/>
  <c r="A127" i="8"/>
  <c r="B127" i="8"/>
  <c r="C127" i="8"/>
  <c r="D127" i="8"/>
  <c r="E127" i="8"/>
  <c r="F127" i="8"/>
  <c r="G127" i="8"/>
  <c r="A128" i="8"/>
  <c r="B128" i="8"/>
  <c r="C128" i="8"/>
  <c r="D128" i="8"/>
  <c r="E128" i="8"/>
  <c r="F128" i="8"/>
  <c r="G128" i="8"/>
  <c r="A129" i="8"/>
  <c r="B129" i="8"/>
  <c r="C129" i="8"/>
  <c r="D129" i="8"/>
  <c r="E129" i="8"/>
  <c r="F129" i="8"/>
  <c r="G129" i="8"/>
  <c r="A130" i="8"/>
  <c r="B130" i="8"/>
  <c r="C130" i="8"/>
  <c r="D130" i="8"/>
  <c r="E130" i="8"/>
  <c r="F130" i="8"/>
  <c r="G130" i="8"/>
  <c r="A131" i="8"/>
  <c r="B131" i="8"/>
  <c r="C131" i="8"/>
  <c r="D131" i="8"/>
  <c r="E131" i="8"/>
  <c r="F131" i="8"/>
  <c r="G131" i="8"/>
  <c r="A132" i="8"/>
  <c r="B132" i="8"/>
  <c r="C132" i="8"/>
  <c r="D132" i="8"/>
  <c r="E132" i="8"/>
  <c r="F132" i="8"/>
  <c r="G132" i="8"/>
  <c r="A133" i="8"/>
  <c r="B133" i="8"/>
  <c r="C133" i="8"/>
  <c r="D133" i="8"/>
  <c r="E133" i="8"/>
  <c r="F133" i="8"/>
  <c r="G133" i="8"/>
  <c r="A134" i="8"/>
  <c r="B134" i="8"/>
  <c r="C134" i="8"/>
  <c r="D134" i="8"/>
  <c r="E134" i="8"/>
  <c r="F134" i="8"/>
  <c r="G134" i="8"/>
  <c r="A135" i="8"/>
  <c r="B135" i="8"/>
  <c r="C135" i="8"/>
  <c r="D135" i="8"/>
  <c r="E135" i="8"/>
  <c r="F135" i="8"/>
  <c r="G135" i="8"/>
  <c r="A136" i="8"/>
  <c r="B136" i="8"/>
  <c r="C136" i="8"/>
  <c r="D136" i="8"/>
  <c r="E136" i="8"/>
  <c r="F136" i="8"/>
  <c r="G136" i="8"/>
  <c r="A137" i="8"/>
  <c r="B137" i="8"/>
  <c r="C137" i="8"/>
  <c r="D137" i="8"/>
  <c r="E137" i="8"/>
  <c r="F137" i="8"/>
  <c r="G137" i="8"/>
  <c r="A138" i="8"/>
  <c r="B138" i="8"/>
  <c r="C138" i="8"/>
  <c r="D138" i="8"/>
  <c r="E138" i="8"/>
  <c r="F138" i="8"/>
  <c r="G138" i="8"/>
  <c r="A139" i="8"/>
  <c r="B139" i="8"/>
  <c r="C139" i="8"/>
  <c r="D139" i="8"/>
  <c r="E139" i="8"/>
  <c r="F139" i="8"/>
  <c r="G139" i="8"/>
  <c r="A140" i="8"/>
  <c r="B140" i="8"/>
  <c r="C140" i="8"/>
  <c r="D140" i="8"/>
  <c r="E140" i="8"/>
  <c r="F140" i="8"/>
  <c r="G140" i="8"/>
  <c r="A141" i="8"/>
  <c r="B141" i="8"/>
  <c r="C141" i="8"/>
  <c r="D141" i="8"/>
  <c r="E141" i="8"/>
  <c r="F141" i="8"/>
  <c r="G141" i="8"/>
  <c r="A142" i="8"/>
  <c r="B142" i="8"/>
  <c r="C142" i="8"/>
  <c r="D142" i="8"/>
  <c r="E142" i="8"/>
  <c r="F142" i="8"/>
  <c r="G142" i="8"/>
  <c r="A143" i="8"/>
  <c r="B143" i="8"/>
  <c r="C143" i="8"/>
  <c r="D143" i="8"/>
  <c r="E143" i="8"/>
  <c r="F143" i="8"/>
  <c r="G143" i="8"/>
  <c r="A144" i="8"/>
  <c r="B144" i="8"/>
  <c r="C144" i="8"/>
  <c r="D144" i="8"/>
  <c r="E144" i="8"/>
  <c r="F144" i="8"/>
  <c r="G144" i="8"/>
  <c r="A145" i="8"/>
  <c r="B145" i="8"/>
  <c r="C145" i="8"/>
  <c r="D145" i="8"/>
  <c r="E145" i="8"/>
  <c r="F145" i="8"/>
  <c r="G145" i="8"/>
  <c r="A146" i="8"/>
  <c r="B146" i="8"/>
  <c r="C146" i="8"/>
  <c r="D146" i="8"/>
  <c r="E146" i="8"/>
  <c r="F146" i="8"/>
  <c r="G146" i="8"/>
  <c r="A147" i="8"/>
  <c r="B147" i="8"/>
  <c r="C147" i="8"/>
  <c r="D147" i="8"/>
  <c r="E147" i="8"/>
  <c r="F147" i="8"/>
  <c r="G147" i="8"/>
  <c r="A148" i="8"/>
  <c r="B148" i="8"/>
  <c r="C148" i="8"/>
  <c r="D148" i="8"/>
  <c r="E148" i="8"/>
  <c r="F148" i="8"/>
  <c r="G148" i="8"/>
  <c r="A149" i="8"/>
  <c r="B149" i="8"/>
  <c r="C149" i="8"/>
  <c r="D149" i="8"/>
  <c r="E149" i="8"/>
  <c r="F149" i="8"/>
  <c r="G149" i="8"/>
  <c r="A150" i="8"/>
  <c r="B150" i="8"/>
  <c r="C150" i="8"/>
  <c r="D150" i="8"/>
  <c r="E150" i="8"/>
  <c r="F150" i="8"/>
  <c r="G150" i="8"/>
  <c r="A151" i="8"/>
  <c r="B151" i="8"/>
  <c r="C151" i="8"/>
  <c r="D151" i="8"/>
  <c r="E151" i="8"/>
  <c r="F151" i="8"/>
  <c r="G151" i="8"/>
  <c r="A152" i="8"/>
  <c r="B152" i="8"/>
  <c r="C152" i="8"/>
  <c r="D152" i="8"/>
  <c r="E152" i="8"/>
  <c r="F152" i="8"/>
  <c r="G152" i="8"/>
  <c r="A153" i="8"/>
  <c r="B153" i="8"/>
  <c r="C153" i="8"/>
  <c r="D153" i="8"/>
  <c r="E153" i="8"/>
  <c r="F153" i="8"/>
  <c r="G153" i="8"/>
  <c r="A154" i="8"/>
  <c r="B154" i="8"/>
  <c r="C154" i="8"/>
  <c r="D154" i="8"/>
  <c r="E154" i="8"/>
  <c r="F154" i="8"/>
  <c r="G154" i="8"/>
  <c r="A155" i="8"/>
  <c r="B155" i="8"/>
  <c r="C155" i="8"/>
  <c r="D155" i="8"/>
  <c r="E155" i="8"/>
  <c r="F155" i="8"/>
  <c r="G155" i="8"/>
  <c r="A156" i="8"/>
  <c r="B156" i="8"/>
  <c r="C156" i="8"/>
  <c r="D156" i="8"/>
  <c r="E156" i="8"/>
  <c r="F156" i="8"/>
  <c r="G156" i="8"/>
  <c r="A157" i="8"/>
  <c r="B157" i="8"/>
  <c r="C157" i="8"/>
  <c r="D157" i="8"/>
  <c r="E157" i="8"/>
  <c r="F157" i="8"/>
  <c r="G157" i="8"/>
  <c r="A158" i="8"/>
  <c r="B158" i="8"/>
  <c r="C158" i="8"/>
  <c r="D158" i="8"/>
  <c r="E158" i="8"/>
  <c r="F158" i="8"/>
  <c r="G158" i="8"/>
  <c r="A159" i="8"/>
  <c r="B159" i="8"/>
  <c r="C159" i="8"/>
  <c r="D159" i="8"/>
  <c r="E159" i="8"/>
  <c r="F159" i="8"/>
  <c r="G159" i="8"/>
  <c r="A160" i="8"/>
  <c r="B160" i="8"/>
  <c r="C160" i="8"/>
  <c r="D160" i="8"/>
  <c r="E160" i="8"/>
  <c r="F160" i="8"/>
  <c r="G160" i="8"/>
  <c r="A161" i="8"/>
  <c r="B161" i="8"/>
  <c r="C161" i="8"/>
  <c r="D161" i="8"/>
  <c r="E161" i="8"/>
  <c r="F161" i="8"/>
  <c r="G161" i="8"/>
  <c r="A162" i="8"/>
  <c r="B162" i="8"/>
  <c r="M162" i="8" s="1"/>
  <c r="N162" i="8" s="1"/>
  <c r="C162" i="8"/>
  <c r="D162" i="8"/>
  <c r="K162" i="8" s="1"/>
  <c r="E162" i="8"/>
  <c r="F162" i="8"/>
  <c r="G162" i="8"/>
  <c r="A163" i="8"/>
  <c r="B163" i="8"/>
  <c r="C163" i="8"/>
  <c r="D163" i="8"/>
  <c r="J163" i="8" s="1"/>
  <c r="E163" i="8"/>
  <c r="F163" i="8"/>
  <c r="G163" i="8"/>
  <c r="A164" i="8"/>
  <c r="B164" i="8"/>
  <c r="C164" i="8"/>
  <c r="D164" i="8"/>
  <c r="J164" i="8" s="1"/>
  <c r="E164" i="8"/>
  <c r="F164" i="8"/>
  <c r="G164" i="8"/>
  <c r="A165" i="8"/>
  <c r="B165" i="8"/>
  <c r="C165" i="8"/>
  <c r="D165" i="8"/>
  <c r="J165" i="8" s="1"/>
  <c r="E165" i="8"/>
  <c r="F165" i="8"/>
  <c r="G165" i="8"/>
  <c r="A166" i="8"/>
  <c r="B166" i="8"/>
  <c r="C166" i="8"/>
  <c r="D166" i="8"/>
  <c r="J166" i="8" s="1"/>
  <c r="E166" i="8"/>
  <c r="F166" i="8"/>
  <c r="G166" i="8"/>
  <c r="A167" i="8"/>
  <c r="B167" i="8"/>
  <c r="M167" i="8" s="1"/>
  <c r="N167" i="8" s="1"/>
  <c r="C167" i="8"/>
  <c r="D167" i="8"/>
  <c r="J167" i="8" s="1"/>
  <c r="E167" i="8"/>
  <c r="F167" i="8"/>
  <c r="G167" i="8"/>
  <c r="P167" i="8" s="1"/>
  <c r="A168" i="8"/>
  <c r="B168" i="8"/>
  <c r="M168" i="8" s="1"/>
  <c r="N168" i="8" s="1"/>
  <c r="C168" i="8"/>
  <c r="D168" i="8"/>
  <c r="J168" i="8" s="1"/>
  <c r="E168" i="8"/>
  <c r="F168" i="8"/>
  <c r="G168" i="8"/>
  <c r="A169" i="8"/>
  <c r="B169" i="8"/>
  <c r="M169" i="8" s="1"/>
  <c r="N169" i="8" s="1"/>
  <c r="C169" i="8"/>
  <c r="D169" i="8"/>
  <c r="J169" i="8" s="1"/>
  <c r="E169" i="8"/>
  <c r="F169" i="8"/>
  <c r="G169" i="8"/>
  <c r="P169" i="8" s="1"/>
  <c r="A170" i="8"/>
  <c r="B170" i="8"/>
  <c r="M170" i="8" s="1"/>
  <c r="N170" i="8" s="1"/>
  <c r="C170" i="8"/>
  <c r="D170" i="8"/>
  <c r="J170" i="8" s="1"/>
  <c r="E170" i="8"/>
  <c r="F170" i="8"/>
  <c r="G170" i="8"/>
  <c r="A171" i="8"/>
  <c r="B171" i="8"/>
  <c r="C171" i="8"/>
  <c r="D171" i="8"/>
  <c r="J171" i="8" s="1"/>
  <c r="E171" i="8"/>
  <c r="F171" i="8"/>
  <c r="G171" i="8"/>
  <c r="A172" i="8"/>
  <c r="B172" i="8"/>
  <c r="C172" i="8"/>
  <c r="D172" i="8"/>
  <c r="J172" i="8" s="1"/>
  <c r="E172" i="8"/>
  <c r="F172" i="8"/>
  <c r="G172" i="8"/>
  <c r="A173" i="8"/>
  <c r="B173" i="8"/>
  <c r="C173" i="8"/>
  <c r="D173" i="8"/>
  <c r="J173" i="8" s="1"/>
  <c r="E173" i="8"/>
  <c r="F173" i="8"/>
  <c r="G173" i="8"/>
  <c r="A174" i="8"/>
  <c r="B174" i="8"/>
  <c r="C174" i="8"/>
  <c r="D174" i="8"/>
  <c r="J174" i="8" s="1"/>
  <c r="E174" i="8"/>
  <c r="F174" i="8"/>
  <c r="G174" i="8"/>
  <c r="A175" i="8"/>
  <c r="B175" i="8"/>
  <c r="C175" i="8"/>
  <c r="D175" i="8"/>
  <c r="J175" i="8" s="1"/>
  <c r="E175" i="8"/>
  <c r="F175" i="8"/>
  <c r="G175" i="8"/>
  <c r="A176" i="8"/>
  <c r="B176" i="8"/>
  <c r="C176" i="8"/>
  <c r="D176" i="8"/>
  <c r="J176" i="8" s="1"/>
  <c r="E176" i="8"/>
  <c r="F176" i="8"/>
  <c r="G176" i="8"/>
  <c r="A177" i="8"/>
  <c r="B177" i="8"/>
  <c r="C177" i="8"/>
  <c r="D177" i="8"/>
  <c r="J177" i="8" s="1"/>
  <c r="E177" i="8"/>
  <c r="F177" i="8"/>
  <c r="G177" i="8"/>
  <c r="A178" i="8"/>
  <c r="B178" i="8"/>
  <c r="C178" i="8"/>
  <c r="D178" i="8"/>
  <c r="J178" i="8" s="1"/>
  <c r="E178" i="8"/>
  <c r="F178" i="8"/>
  <c r="G178" i="8"/>
  <c r="A179" i="8"/>
  <c r="B179" i="8"/>
  <c r="C179" i="8"/>
  <c r="D179" i="8"/>
  <c r="J179" i="8" s="1"/>
  <c r="E179" i="8"/>
  <c r="F179" i="8"/>
  <c r="G179" i="8"/>
  <c r="N171" i="31" l="1"/>
  <c r="O171" i="31" s="1"/>
  <c r="R171" i="31" s="1"/>
  <c r="R170" i="31"/>
  <c r="T168" i="31"/>
  <c r="U168" i="31"/>
  <c r="X168" i="31" s="1"/>
  <c r="W168" i="31"/>
  <c r="N167" i="31"/>
  <c r="O167" i="31" s="1"/>
  <c r="R167" i="31" s="1"/>
  <c r="N160" i="31"/>
  <c r="O160" i="31" s="1"/>
  <c r="R160" i="31" s="1"/>
  <c r="V160" i="31" s="1"/>
  <c r="W157" i="31"/>
  <c r="T157" i="31"/>
  <c r="U157" i="31"/>
  <c r="X157" i="31" s="1"/>
  <c r="T171" i="31"/>
  <c r="U171" i="31"/>
  <c r="X171" i="31" s="1"/>
  <c r="W171" i="31"/>
  <c r="N151" i="31"/>
  <c r="O151" i="31" s="1"/>
  <c r="R151" i="31" s="1"/>
  <c r="I36" i="31"/>
  <c r="I24" i="31"/>
  <c r="L151" i="31"/>
  <c r="M151" i="31"/>
  <c r="I149" i="31"/>
  <c r="V149" i="31"/>
  <c r="K139" i="31"/>
  <c r="L139" i="31"/>
  <c r="M139" i="31"/>
  <c r="I137" i="31"/>
  <c r="K127" i="31"/>
  <c r="L127" i="31"/>
  <c r="M127" i="31"/>
  <c r="I125" i="31"/>
  <c r="K115" i="31"/>
  <c r="L115" i="31"/>
  <c r="M115" i="31"/>
  <c r="I113" i="31"/>
  <c r="K103" i="31"/>
  <c r="L103" i="31"/>
  <c r="M103" i="31"/>
  <c r="I101" i="31"/>
  <c r="K91" i="31"/>
  <c r="L91" i="31"/>
  <c r="M91" i="31"/>
  <c r="I89" i="31"/>
  <c r="K79" i="31"/>
  <c r="L79" i="31"/>
  <c r="M79" i="31"/>
  <c r="I77" i="31"/>
  <c r="K67" i="31"/>
  <c r="L67" i="31"/>
  <c r="M67" i="31"/>
  <c r="I65" i="31"/>
  <c r="M55" i="31"/>
  <c r="K55" i="31"/>
  <c r="L55" i="31"/>
  <c r="I53" i="31"/>
  <c r="M43" i="31"/>
  <c r="K43" i="31"/>
  <c r="L43" i="31"/>
  <c r="I41" i="31"/>
  <c r="M31" i="31"/>
  <c r="K31" i="31"/>
  <c r="L31" i="31"/>
  <c r="I29" i="31"/>
  <c r="M19" i="31"/>
  <c r="K19" i="31"/>
  <c r="L19" i="31"/>
  <c r="I17" i="31"/>
  <c r="M179" i="31"/>
  <c r="N179" i="31" s="1"/>
  <c r="O179" i="31" s="1"/>
  <c r="R179" i="31" s="1"/>
  <c r="V179" i="31" s="1"/>
  <c r="I178" i="31"/>
  <c r="M176" i="31"/>
  <c r="N176" i="31" s="1"/>
  <c r="O176" i="31" s="1"/>
  <c r="R176" i="31" s="1"/>
  <c r="I175" i="31"/>
  <c r="M173" i="31"/>
  <c r="I172" i="31"/>
  <c r="M170" i="31"/>
  <c r="I169" i="31"/>
  <c r="M167" i="31"/>
  <c r="I166" i="31"/>
  <c r="M164" i="31"/>
  <c r="I163" i="31"/>
  <c r="M161" i="31"/>
  <c r="I160" i="31"/>
  <c r="M158" i="31"/>
  <c r="N158" i="31" s="1"/>
  <c r="O158" i="31" s="1"/>
  <c r="R158" i="31" s="1"/>
  <c r="I151" i="31"/>
  <c r="M140" i="31"/>
  <c r="K86" i="31"/>
  <c r="L86" i="31"/>
  <c r="M86" i="31"/>
  <c r="L156" i="31"/>
  <c r="M156" i="31"/>
  <c r="N156" i="31" s="1"/>
  <c r="O156" i="31" s="1"/>
  <c r="R156" i="31" s="1"/>
  <c r="K144" i="31"/>
  <c r="L144" i="31"/>
  <c r="M144" i="31"/>
  <c r="K132" i="31"/>
  <c r="L132" i="31"/>
  <c r="M132" i="31"/>
  <c r="K120" i="31"/>
  <c r="L120" i="31"/>
  <c r="M120" i="31"/>
  <c r="M108" i="31"/>
  <c r="K108" i="31"/>
  <c r="L108" i="31"/>
  <c r="I106" i="31"/>
  <c r="M96" i="31"/>
  <c r="K96" i="31"/>
  <c r="L96" i="31"/>
  <c r="I94" i="31"/>
  <c r="M84" i="31"/>
  <c r="K84" i="31"/>
  <c r="L84" i="31"/>
  <c r="I82" i="31"/>
  <c r="M72" i="31"/>
  <c r="L72" i="31"/>
  <c r="I70" i="31"/>
  <c r="K60" i="31"/>
  <c r="L60" i="31"/>
  <c r="M60" i="31"/>
  <c r="I58" i="31"/>
  <c r="K48" i="31"/>
  <c r="N48" i="31" s="1"/>
  <c r="O48" i="31" s="1"/>
  <c r="R48" i="31" s="1"/>
  <c r="V48" i="31" s="1"/>
  <c r="L48" i="31"/>
  <c r="M48" i="31"/>
  <c r="I46" i="31"/>
  <c r="K36" i="31"/>
  <c r="L36" i="31"/>
  <c r="M36" i="31"/>
  <c r="I34" i="31"/>
  <c r="K24" i="31"/>
  <c r="L24" i="31"/>
  <c r="M24" i="31"/>
  <c r="I22" i="31"/>
  <c r="L179" i="31"/>
  <c r="L176" i="31"/>
  <c r="L173" i="31"/>
  <c r="N173" i="31" s="1"/>
  <c r="O173" i="31" s="1"/>
  <c r="R173" i="31" s="1"/>
  <c r="L170" i="31"/>
  <c r="L167" i="31"/>
  <c r="L164" i="31"/>
  <c r="N164" i="31" s="1"/>
  <c r="O164" i="31" s="1"/>
  <c r="R164" i="31" s="1"/>
  <c r="L161" i="31"/>
  <c r="N161" i="31" s="1"/>
  <c r="O161" i="31" s="1"/>
  <c r="R161" i="31" s="1"/>
  <c r="L158" i="31"/>
  <c r="M125" i="31"/>
  <c r="M116" i="31"/>
  <c r="I132" i="31"/>
  <c r="I108" i="31"/>
  <c r="K98" i="31"/>
  <c r="L98" i="31"/>
  <c r="M98" i="31"/>
  <c r="I84" i="31"/>
  <c r="K74" i="31"/>
  <c r="L74" i="31"/>
  <c r="M74" i="31"/>
  <c r="K50" i="31"/>
  <c r="N50" i="31" s="1"/>
  <c r="O50" i="31" s="1"/>
  <c r="R50" i="31" s="1"/>
  <c r="V50" i="31" s="1"/>
  <c r="L50" i="31"/>
  <c r="M50" i="31"/>
  <c r="N146" i="31"/>
  <c r="O146" i="31" s="1"/>
  <c r="R146" i="31" s="1"/>
  <c r="I135" i="31"/>
  <c r="I123" i="31"/>
  <c r="V123" i="31"/>
  <c r="N122" i="31"/>
  <c r="O122" i="31" s="1"/>
  <c r="R122" i="31" s="1"/>
  <c r="I111" i="31"/>
  <c r="K101" i="31"/>
  <c r="L101" i="31"/>
  <c r="M101" i="31"/>
  <c r="I99" i="31"/>
  <c r="V99" i="31"/>
  <c r="N98" i="31"/>
  <c r="O98" i="31" s="1"/>
  <c r="R98" i="31" s="1"/>
  <c r="K89" i="31"/>
  <c r="L89" i="31"/>
  <c r="M89" i="31"/>
  <c r="I87" i="31"/>
  <c r="N86" i="31"/>
  <c r="O86" i="31" s="1"/>
  <c r="R86" i="31" s="1"/>
  <c r="K77" i="31"/>
  <c r="L77" i="31"/>
  <c r="M77" i="31"/>
  <c r="I75" i="31"/>
  <c r="N74" i="31"/>
  <c r="O74" i="31" s="1"/>
  <c r="R74" i="31" s="1"/>
  <c r="L65" i="31"/>
  <c r="M65" i="31"/>
  <c r="K65" i="31"/>
  <c r="I63" i="31"/>
  <c r="K53" i="31"/>
  <c r="L53" i="31"/>
  <c r="N53" i="31" s="1"/>
  <c r="O53" i="31" s="1"/>
  <c r="R53" i="31" s="1"/>
  <c r="V53" i="31" s="1"/>
  <c r="M53" i="31"/>
  <c r="I51" i="31"/>
  <c r="K41" i="31"/>
  <c r="L41" i="31"/>
  <c r="M41" i="31"/>
  <c r="I39" i="31"/>
  <c r="N38" i="31"/>
  <c r="O38" i="31" s="1"/>
  <c r="R38" i="31" s="1"/>
  <c r="V38" i="31" s="1"/>
  <c r="K29" i="31"/>
  <c r="L29" i="31"/>
  <c r="M29" i="31"/>
  <c r="I27" i="31"/>
  <c r="K17" i="31"/>
  <c r="L17" i="31"/>
  <c r="M17" i="31"/>
  <c r="I15" i="31"/>
  <c r="V15" i="31"/>
  <c r="I142" i="31"/>
  <c r="M134" i="31"/>
  <c r="N134" i="31" s="1"/>
  <c r="O134" i="31" s="1"/>
  <c r="R134" i="31" s="1"/>
  <c r="V134" i="31" s="1"/>
  <c r="L125" i="31"/>
  <c r="I118" i="31"/>
  <c r="L93" i="31"/>
  <c r="N93" i="31" s="1"/>
  <c r="O93" i="31" s="1"/>
  <c r="R93" i="31" s="1"/>
  <c r="V93" i="31" s="1"/>
  <c r="L154" i="31"/>
  <c r="M154" i="31"/>
  <c r="N154" i="31" s="1"/>
  <c r="O154" i="31" s="1"/>
  <c r="R154" i="31" s="1"/>
  <c r="I152" i="31"/>
  <c r="K142" i="31"/>
  <c r="L142" i="31"/>
  <c r="M142" i="31"/>
  <c r="I140" i="31"/>
  <c r="N139" i="31"/>
  <c r="O139" i="31" s="1"/>
  <c r="R139" i="31" s="1"/>
  <c r="W139" i="31" s="1"/>
  <c r="K130" i="31"/>
  <c r="L130" i="31"/>
  <c r="M130" i="31"/>
  <c r="I128" i="31"/>
  <c r="N127" i="31"/>
  <c r="O127" i="31" s="1"/>
  <c r="R127" i="31" s="1"/>
  <c r="W127" i="31" s="1"/>
  <c r="K118" i="31"/>
  <c r="L118" i="31"/>
  <c r="N118" i="31" s="1"/>
  <c r="O118" i="31" s="1"/>
  <c r="R118" i="31" s="1"/>
  <c r="V118" i="31" s="1"/>
  <c r="M118" i="31"/>
  <c r="I116" i="31"/>
  <c r="N115" i="31"/>
  <c r="O115" i="31" s="1"/>
  <c r="R115" i="31" s="1"/>
  <c r="K106" i="31"/>
  <c r="L106" i="31"/>
  <c r="M106" i="31"/>
  <c r="I104" i="31"/>
  <c r="N103" i="31"/>
  <c r="O103" i="31" s="1"/>
  <c r="R103" i="31" s="1"/>
  <c r="K94" i="31"/>
  <c r="L94" i="31"/>
  <c r="M94" i="31"/>
  <c r="I92" i="31"/>
  <c r="N91" i="31"/>
  <c r="O91" i="31" s="1"/>
  <c r="R91" i="31" s="1"/>
  <c r="K82" i="31"/>
  <c r="L82" i="31"/>
  <c r="M82" i="31"/>
  <c r="I80" i="31"/>
  <c r="V80" i="31"/>
  <c r="N79" i="31"/>
  <c r="O79" i="31" s="1"/>
  <c r="R79" i="31" s="1"/>
  <c r="K70" i="31"/>
  <c r="L70" i="31"/>
  <c r="M70" i="31"/>
  <c r="I68" i="31"/>
  <c r="N67" i="31"/>
  <c r="O67" i="31" s="1"/>
  <c r="R67" i="31" s="1"/>
  <c r="M58" i="31"/>
  <c r="L58" i="31"/>
  <c r="K58" i="31"/>
  <c r="I56" i="31"/>
  <c r="N55" i="31"/>
  <c r="O55" i="31" s="1"/>
  <c r="R55" i="31" s="1"/>
  <c r="M46" i="31"/>
  <c r="K46" i="31"/>
  <c r="L46" i="31"/>
  <c r="I44" i="31"/>
  <c r="N43" i="31"/>
  <c r="O43" i="31" s="1"/>
  <c r="R43" i="31" s="1"/>
  <c r="M34" i="31"/>
  <c r="N34" i="31" s="1"/>
  <c r="O34" i="31" s="1"/>
  <c r="R34" i="31" s="1"/>
  <c r="V34" i="31" s="1"/>
  <c r="K34" i="31"/>
  <c r="L34" i="31"/>
  <c r="I32" i="31"/>
  <c r="N31" i="31"/>
  <c r="O31" i="31" s="1"/>
  <c r="R31" i="31" s="1"/>
  <c r="M22" i="31"/>
  <c r="K22" i="31"/>
  <c r="L22" i="31"/>
  <c r="I20" i="31"/>
  <c r="N19" i="31"/>
  <c r="O19" i="31" s="1"/>
  <c r="R19" i="31" s="1"/>
  <c r="V176" i="31"/>
  <c r="V173" i="31"/>
  <c r="V170" i="31"/>
  <c r="V167" i="31"/>
  <c r="V164" i="31"/>
  <c r="V161" i="31"/>
  <c r="V158" i="31"/>
  <c r="V150" i="31"/>
  <c r="L134" i="31"/>
  <c r="K72" i="31"/>
  <c r="K62" i="31"/>
  <c r="L62" i="31"/>
  <c r="M62" i="31"/>
  <c r="N62" i="31" s="1"/>
  <c r="O62" i="31" s="1"/>
  <c r="R62" i="31" s="1"/>
  <c r="V62" i="31" s="1"/>
  <c r="K147" i="31"/>
  <c r="L147" i="31"/>
  <c r="M147" i="31"/>
  <c r="N144" i="31"/>
  <c r="O144" i="31" s="1"/>
  <c r="R144" i="31" s="1"/>
  <c r="K135" i="31"/>
  <c r="L135" i="31"/>
  <c r="M135" i="31"/>
  <c r="N132" i="31"/>
  <c r="O132" i="31" s="1"/>
  <c r="R132" i="31" s="1"/>
  <c r="V132" i="31" s="1"/>
  <c r="K123" i="31"/>
  <c r="L123" i="31"/>
  <c r="M123" i="31"/>
  <c r="N120" i="31"/>
  <c r="O120" i="31" s="1"/>
  <c r="R120" i="31" s="1"/>
  <c r="K111" i="31"/>
  <c r="L111" i="31"/>
  <c r="M111" i="31"/>
  <c r="I109" i="31"/>
  <c r="N108" i="31"/>
  <c r="O108" i="31" s="1"/>
  <c r="R108" i="31" s="1"/>
  <c r="V108" i="31" s="1"/>
  <c r="M99" i="31"/>
  <c r="K99" i="31"/>
  <c r="L99" i="31"/>
  <c r="I97" i="31"/>
  <c r="V97" i="31"/>
  <c r="N96" i="31"/>
  <c r="O96" i="31" s="1"/>
  <c r="R96" i="31" s="1"/>
  <c r="M87" i="31"/>
  <c r="K87" i="31"/>
  <c r="L87" i="31"/>
  <c r="I85" i="31"/>
  <c r="N84" i="31"/>
  <c r="O84" i="31" s="1"/>
  <c r="R84" i="31" s="1"/>
  <c r="V84" i="31" s="1"/>
  <c r="M75" i="31"/>
  <c r="K75" i="31"/>
  <c r="L75" i="31"/>
  <c r="I73" i="31"/>
  <c r="N72" i="31"/>
  <c r="O72" i="31" s="1"/>
  <c r="R72" i="31" s="1"/>
  <c r="L63" i="31"/>
  <c r="M63" i="31"/>
  <c r="K63" i="31"/>
  <c r="I61" i="31"/>
  <c r="N60" i="31"/>
  <c r="O60" i="31" s="1"/>
  <c r="R60" i="31" s="1"/>
  <c r="K51" i="31"/>
  <c r="N51" i="31" s="1"/>
  <c r="O51" i="31" s="1"/>
  <c r="R51" i="31" s="1"/>
  <c r="V51" i="31" s="1"/>
  <c r="L51" i="31"/>
  <c r="M51" i="31"/>
  <c r="I49" i="31"/>
  <c r="K39" i="31"/>
  <c r="L39" i="31"/>
  <c r="M39" i="31"/>
  <c r="I37" i="31"/>
  <c r="V37" i="31"/>
  <c r="N36" i="31"/>
  <c r="O36" i="31" s="1"/>
  <c r="R36" i="31" s="1"/>
  <c r="V36" i="31" s="1"/>
  <c r="K27" i="31"/>
  <c r="L27" i="31"/>
  <c r="M27" i="31"/>
  <c r="I25" i="31"/>
  <c r="N24" i="31"/>
  <c r="O24" i="31" s="1"/>
  <c r="R24" i="31" s="1"/>
  <c r="V24" i="31" s="1"/>
  <c r="K15" i="31"/>
  <c r="L15" i="31"/>
  <c r="M15" i="31"/>
  <c r="I179" i="31"/>
  <c r="M177" i="31"/>
  <c r="N177" i="31" s="1"/>
  <c r="O177" i="31" s="1"/>
  <c r="R177" i="31" s="1"/>
  <c r="I176" i="31"/>
  <c r="M174" i="31"/>
  <c r="N174" i="31" s="1"/>
  <c r="O174" i="31" s="1"/>
  <c r="R174" i="31" s="1"/>
  <c r="I173" i="31"/>
  <c r="M171" i="31"/>
  <c r="I170" i="31"/>
  <c r="M168" i="31"/>
  <c r="I167" i="31"/>
  <c r="M165" i="31"/>
  <c r="I164" i="31"/>
  <c r="M162" i="31"/>
  <c r="I161" i="31"/>
  <c r="M159" i="31"/>
  <c r="N159" i="31" s="1"/>
  <c r="O159" i="31" s="1"/>
  <c r="R159" i="31" s="1"/>
  <c r="I158" i="31"/>
  <c r="M149" i="31"/>
  <c r="I145" i="31"/>
  <c r="I72" i="31"/>
  <c r="V72" i="31"/>
  <c r="W150" i="31"/>
  <c r="N149" i="31"/>
  <c r="O149" i="31" s="1"/>
  <c r="R149" i="31" s="1"/>
  <c r="K140" i="31"/>
  <c r="I138" i="31"/>
  <c r="K128" i="31"/>
  <c r="I126" i="31"/>
  <c r="N125" i="31"/>
  <c r="O125" i="31" s="1"/>
  <c r="R125" i="31" s="1"/>
  <c r="V125" i="31" s="1"/>
  <c r="K116" i="31"/>
  <c r="I114" i="31"/>
  <c r="L104" i="31"/>
  <c r="M104" i="31"/>
  <c r="K104" i="31"/>
  <c r="I102" i="31"/>
  <c r="N101" i="31"/>
  <c r="O101" i="31" s="1"/>
  <c r="R101" i="31" s="1"/>
  <c r="V101" i="31" s="1"/>
  <c r="K92" i="31"/>
  <c r="L92" i="31"/>
  <c r="M92" i="31"/>
  <c r="I90" i="31"/>
  <c r="N89" i="31"/>
  <c r="O89" i="31" s="1"/>
  <c r="R89" i="31" s="1"/>
  <c r="V89" i="31" s="1"/>
  <c r="K80" i="31"/>
  <c r="L80" i="31"/>
  <c r="M80" i="31"/>
  <c r="I78" i="31"/>
  <c r="V78" i="31"/>
  <c r="N77" i="31"/>
  <c r="O77" i="31" s="1"/>
  <c r="R77" i="31" s="1"/>
  <c r="V77" i="31" s="1"/>
  <c r="K68" i="31"/>
  <c r="L68" i="31"/>
  <c r="M68" i="31"/>
  <c r="I66" i="31"/>
  <c r="N65" i="31"/>
  <c r="O65" i="31" s="1"/>
  <c r="R65" i="31" s="1"/>
  <c r="V65" i="31" s="1"/>
  <c r="K56" i="31"/>
  <c r="L56" i="31"/>
  <c r="M56" i="31"/>
  <c r="I54" i="31"/>
  <c r="K44" i="31"/>
  <c r="L44" i="31"/>
  <c r="M44" i="31"/>
  <c r="I42" i="31"/>
  <c r="N41" i="31"/>
  <c r="O41" i="31" s="1"/>
  <c r="R41" i="31" s="1"/>
  <c r="V41" i="31" s="1"/>
  <c r="K32" i="31"/>
  <c r="L32" i="31"/>
  <c r="M32" i="31"/>
  <c r="I30" i="31"/>
  <c r="N29" i="31"/>
  <c r="O29" i="31" s="1"/>
  <c r="R29" i="31" s="1"/>
  <c r="V29" i="31" s="1"/>
  <c r="K20" i="31"/>
  <c r="L20" i="31"/>
  <c r="M20" i="31"/>
  <c r="I18" i="31"/>
  <c r="N17" i="31"/>
  <c r="O17" i="31" s="1"/>
  <c r="R17" i="31" s="1"/>
  <c r="V17" i="31" s="1"/>
  <c r="L177" i="31"/>
  <c r="L174" i="31"/>
  <c r="L171" i="31"/>
  <c r="L168" i="31"/>
  <c r="L165" i="31"/>
  <c r="N165" i="31" s="1"/>
  <c r="O165" i="31" s="1"/>
  <c r="R165" i="31" s="1"/>
  <c r="L162" i="31"/>
  <c r="N162" i="31" s="1"/>
  <c r="O162" i="31" s="1"/>
  <c r="R162" i="31" s="1"/>
  <c r="L159" i="31"/>
  <c r="L149" i="31"/>
  <c r="M143" i="31"/>
  <c r="M128" i="31"/>
  <c r="N128" i="31" s="1"/>
  <c r="O128" i="31" s="1"/>
  <c r="R128" i="31" s="1"/>
  <c r="V128" i="31" s="1"/>
  <c r="M119" i="31"/>
  <c r="I120" i="31"/>
  <c r="V120" i="31"/>
  <c r="I96" i="31"/>
  <c r="V96" i="31"/>
  <c r="K145" i="31"/>
  <c r="L145" i="31"/>
  <c r="M145" i="31"/>
  <c r="I143" i="31"/>
  <c r="V143" i="31"/>
  <c r="N142" i="31"/>
  <c r="O142" i="31" s="1"/>
  <c r="R142" i="31" s="1"/>
  <c r="V142" i="31" s="1"/>
  <c r="K133" i="31"/>
  <c r="L133" i="31"/>
  <c r="M133" i="31"/>
  <c r="I131" i="31"/>
  <c r="N130" i="31"/>
  <c r="O130" i="31" s="1"/>
  <c r="R130" i="31" s="1"/>
  <c r="V130" i="31" s="1"/>
  <c r="K121" i="31"/>
  <c r="L121" i="31"/>
  <c r="M121" i="31"/>
  <c r="I119" i="31"/>
  <c r="V119" i="31"/>
  <c r="L109" i="31"/>
  <c r="M109" i="31"/>
  <c r="K109" i="31"/>
  <c r="I107" i="31"/>
  <c r="N106" i="31"/>
  <c r="O106" i="31" s="1"/>
  <c r="R106" i="31" s="1"/>
  <c r="V106" i="31" s="1"/>
  <c r="K97" i="31"/>
  <c r="L97" i="31"/>
  <c r="M97" i="31"/>
  <c r="I95" i="31"/>
  <c r="N94" i="31"/>
  <c r="O94" i="31" s="1"/>
  <c r="R94" i="31" s="1"/>
  <c r="V94" i="31" s="1"/>
  <c r="K85" i="31"/>
  <c r="L85" i="31"/>
  <c r="M85" i="31"/>
  <c r="N85" i="31" s="1"/>
  <c r="O85" i="31" s="1"/>
  <c r="R85" i="31" s="1"/>
  <c r="V85" i="31" s="1"/>
  <c r="I83" i="31"/>
  <c r="N82" i="31"/>
  <c r="O82" i="31" s="1"/>
  <c r="R82" i="31" s="1"/>
  <c r="V82" i="31" s="1"/>
  <c r="K73" i="31"/>
  <c r="L73" i="31"/>
  <c r="M73" i="31"/>
  <c r="I71" i="31"/>
  <c r="N70" i="31"/>
  <c r="O70" i="31" s="1"/>
  <c r="R70" i="31" s="1"/>
  <c r="V70" i="31" s="1"/>
  <c r="M61" i="31"/>
  <c r="N61" i="31" s="1"/>
  <c r="O61" i="31" s="1"/>
  <c r="R61" i="31" s="1"/>
  <c r="V61" i="31" s="1"/>
  <c r="K61" i="31"/>
  <c r="L61" i="31"/>
  <c r="I59" i="31"/>
  <c r="N58" i="31"/>
  <c r="O58" i="31" s="1"/>
  <c r="R58" i="31" s="1"/>
  <c r="V58" i="31" s="1"/>
  <c r="M49" i="31"/>
  <c r="K49" i="31"/>
  <c r="L49" i="31"/>
  <c r="I47" i="31"/>
  <c r="N46" i="31"/>
  <c r="O46" i="31" s="1"/>
  <c r="R46" i="31" s="1"/>
  <c r="V46" i="31" s="1"/>
  <c r="M37" i="31"/>
  <c r="K37" i="31"/>
  <c r="L37" i="31"/>
  <c r="I35" i="31"/>
  <c r="M25" i="31"/>
  <c r="K25" i="31"/>
  <c r="L25" i="31"/>
  <c r="I23" i="31"/>
  <c r="N22" i="31"/>
  <c r="O22" i="31" s="1"/>
  <c r="R22" i="31" s="1"/>
  <c r="V22" i="31" s="1"/>
  <c r="M146" i="31"/>
  <c r="L143" i="31"/>
  <c r="I130" i="31"/>
  <c r="L128" i="31"/>
  <c r="I121" i="31"/>
  <c r="L119" i="31"/>
  <c r="L110" i="31"/>
  <c r="M110" i="31"/>
  <c r="N110" i="31" s="1"/>
  <c r="O110" i="31" s="1"/>
  <c r="R110" i="31" s="1"/>
  <c r="V110" i="31" s="1"/>
  <c r="K110" i="31"/>
  <c r="K26" i="31"/>
  <c r="N26" i="31" s="1"/>
  <c r="O26" i="31" s="1"/>
  <c r="R26" i="31" s="1"/>
  <c r="V26" i="31" s="1"/>
  <c r="L26" i="31"/>
  <c r="M26" i="31"/>
  <c r="K150" i="31"/>
  <c r="L150" i="31"/>
  <c r="M150" i="31"/>
  <c r="N147" i="31"/>
  <c r="O147" i="31" s="1"/>
  <c r="R147" i="31" s="1"/>
  <c r="T147" i="31" s="1"/>
  <c r="K138" i="31"/>
  <c r="L138" i="31"/>
  <c r="M138" i="31"/>
  <c r="N135" i="31"/>
  <c r="O135" i="31" s="1"/>
  <c r="R135" i="31" s="1"/>
  <c r="V135" i="31" s="1"/>
  <c r="K126" i="31"/>
  <c r="L126" i="31"/>
  <c r="M126" i="31"/>
  <c r="N123" i="31"/>
  <c r="O123" i="31" s="1"/>
  <c r="R123" i="31" s="1"/>
  <c r="K114" i="31"/>
  <c r="L114" i="31"/>
  <c r="M114" i="31"/>
  <c r="N111" i="31"/>
  <c r="O111" i="31" s="1"/>
  <c r="R111" i="31" s="1"/>
  <c r="V111" i="31" s="1"/>
  <c r="M102" i="31"/>
  <c r="K102" i="31"/>
  <c r="L102" i="31"/>
  <c r="I100" i="31"/>
  <c r="N99" i="31"/>
  <c r="O99" i="31" s="1"/>
  <c r="R99" i="31" s="1"/>
  <c r="M90" i="31"/>
  <c r="K90" i="31"/>
  <c r="L90" i="31"/>
  <c r="I88" i="31"/>
  <c r="N87" i="31"/>
  <c r="O87" i="31" s="1"/>
  <c r="R87" i="31" s="1"/>
  <c r="V87" i="31" s="1"/>
  <c r="M78" i="31"/>
  <c r="K78" i="31"/>
  <c r="I76" i="31"/>
  <c r="N75" i="31"/>
  <c r="O75" i="31" s="1"/>
  <c r="R75" i="31" s="1"/>
  <c r="V75" i="31" s="1"/>
  <c r="M66" i="31"/>
  <c r="K66" i="31"/>
  <c r="L66" i="31"/>
  <c r="I64" i="31"/>
  <c r="N63" i="31"/>
  <c r="O63" i="31" s="1"/>
  <c r="R63" i="31" s="1"/>
  <c r="V63" i="31" s="1"/>
  <c r="K54" i="31"/>
  <c r="L54" i="31"/>
  <c r="M54" i="31"/>
  <c r="I52" i="31"/>
  <c r="K42" i="31"/>
  <c r="L42" i="31"/>
  <c r="M42" i="31"/>
  <c r="I40" i="31"/>
  <c r="N39" i="31"/>
  <c r="O39" i="31" s="1"/>
  <c r="R39" i="31" s="1"/>
  <c r="V39" i="31" s="1"/>
  <c r="K30" i="31"/>
  <c r="L30" i="31"/>
  <c r="M30" i="31"/>
  <c r="I28" i="31"/>
  <c r="N27" i="31"/>
  <c r="O27" i="31" s="1"/>
  <c r="R27" i="31" s="1"/>
  <c r="V27" i="31" s="1"/>
  <c r="K18" i="31"/>
  <c r="L18" i="31"/>
  <c r="M18" i="31"/>
  <c r="I16" i="31"/>
  <c r="N15" i="31"/>
  <c r="O15" i="31" s="1"/>
  <c r="R15" i="31" s="1"/>
  <c r="V171" i="31"/>
  <c r="V168" i="31"/>
  <c r="L157" i="31"/>
  <c r="V147" i="31"/>
  <c r="L146" i="31"/>
  <c r="M137" i="31"/>
  <c r="I144" i="31"/>
  <c r="V144" i="31"/>
  <c r="I60" i="31"/>
  <c r="V60" i="31"/>
  <c r="I141" i="31"/>
  <c r="N140" i="31"/>
  <c r="O140" i="31" s="1"/>
  <c r="R140" i="31" s="1"/>
  <c r="V140" i="31" s="1"/>
  <c r="I129" i="31"/>
  <c r="I117" i="31"/>
  <c r="N116" i="31"/>
  <c r="O116" i="31" s="1"/>
  <c r="R116" i="31" s="1"/>
  <c r="V116" i="31" s="1"/>
  <c r="L107" i="31"/>
  <c r="M107" i="31"/>
  <c r="N107" i="31" s="1"/>
  <c r="O107" i="31" s="1"/>
  <c r="R107" i="31" s="1"/>
  <c r="V107" i="31" s="1"/>
  <c r="I105" i="31"/>
  <c r="N104" i="31"/>
  <c r="O104" i="31" s="1"/>
  <c r="R104" i="31" s="1"/>
  <c r="V104" i="31" s="1"/>
  <c r="K95" i="31"/>
  <c r="N95" i="31" s="1"/>
  <c r="O95" i="31" s="1"/>
  <c r="R95" i="31" s="1"/>
  <c r="V95" i="31" s="1"/>
  <c r="L95" i="31"/>
  <c r="M95" i="31"/>
  <c r="I93" i="31"/>
  <c r="N92" i="31"/>
  <c r="O92" i="31" s="1"/>
  <c r="R92" i="31" s="1"/>
  <c r="V92" i="31" s="1"/>
  <c r="K83" i="31"/>
  <c r="L83" i="31"/>
  <c r="M83" i="31"/>
  <c r="N83" i="31" s="1"/>
  <c r="O83" i="31" s="1"/>
  <c r="R83" i="31" s="1"/>
  <c r="V83" i="31" s="1"/>
  <c r="I81" i="31"/>
  <c r="N80" i="31"/>
  <c r="O80" i="31" s="1"/>
  <c r="R80" i="31" s="1"/>
  <c r="K71" i="31"/>
  <c r="N71" i="31" s="1"/>
  <c r="O71" i="31" s="1"/>
  <c r="R71" i="31" s="1"/>
  <c r="V71" i="31" s="1"/>
  <c r="L71" i="31"/>
  <c r="M71" i="31"/>
  <c r="I69" i="31"/>
  <c r="N68" i="31"/>
  <c r="O68" i="31" s="1"/>
  <c r="R68" i="31" s="1"/>
  <c r="V68" i="31" s="1"/>
  <c r="K59" i="31"/>
  <c r="L59" i="31"/>
  <c r="M59" i="31"/>
  <c r="I57" i="31"/>
  <c r="N56" i="31"/>
  <c r="O56" i="31" s="1"/>
  <c r="R56" i="31" s="1"/>
  <c r="V56" i="31" s="1"/>
  <c r="K47" i="31"/>
  <c r="N47" i="31" s="1"/>
  <c r="O47" i="31" s="1"/>
  <c r="R47" i="31" s="1"/>
  <c r="V47" i="31" s="1"/>
  <c r="L47" i="31"/>
  <c r="M47" i="31"/>
  <c r="I45" i="31"/>
  <c r="N44" i="31"/>
  <c r="O44" i="31" s="1"/>
  <c r="R44" i="31" s="1"/>
  <c r="V44" i="31" s="1"/>
  <c r="K35" i="31"/>
  <c r="L35" i="31"/>
  <c r="M35" i="31"/>
  <c r="N35" i="31" s="1"/>
  <c r="O35" i="31" s="1"/>
  <c r="R35" i="31" s="1"/>
  <c r="V35" i="31" s="1"/>
  <c r="I33" i="31"/>
  <c r="N32" i="31"/>
  <c r="O32" i="31" s="1"/>
  <c r="R32" i="31" s="1"/>
  <c r="V32" i="31" s="1"/>
  <c r="K23" i="31"/>
  <c r="N23" i="31" s="1"/>
  <c r="O23" i="31" s="1"/>
  <c r="R23" i="31" s="1"/>
  <c r="V23" i="31" s="1"/>
  <c r="L23" i="31"/>
  <c r="M23" i="31"/>
  <c r="I21" i="31"/>
  <c r="N20" i="31"/>
  <c r="O20" i="31" s="1"/>
  <c r="R20" i="31" s="1"/>
  <c r="V20" i="31" s="1"/>
  <c r="M178" i="31"/>
  <c r="N178" i="31" s="1"/>
  <c r="O178" i="31" s="1"/>
  <c r="R178" i="31" s="1"/>
  <c r="V178" i="31" s="1"/>
  <c r="M175" i="31"/>
  <c r="N175" i="31" s="1"/>
  <c r="O175" i="31" s="1"/>
  <c r="R175" i="31" s="1"/>
  <c r="V175" i="31" s="1"/>
  <c r="M172" i="31"/>
  <c r="M169" i="31"/>
  <c r="M166" i="31"/>
  <c r="M163" i="31"/>
  <c r="M160" i="31"/>
  <c r="K157" i="31"/>
  <c r="M155" i="31"/>
  <c r="N155" i="31" s="1"/>
  <c r="O155" i="31" s="1"/>
  <c r="R155" i="31" s="1"/>
  <c r="L137" i="31"/>
  <c r="N137" i="31" s="1"/>
  <c r="O137" i="31" s="1"/>
  <c r="R137" i="31" s="1"/>
  <c r="V137" i="31" s="1"/>
  <c r="N59" i="31"/>
  <c r="O59" i="31" s="1"/>
  <c r="R59" i="31" s="1"/>
  <c r="V59" i="31" s="1"/>
  <c r="I48" i="31"/>
  <c r="K38" i="31"/>
  <c r="L38" i="31"/>
  <c r="M38" i="31"/>
  <c r="K148" i="31"/>
  <c r="L148" i="31"/>
  <c r="N148" i="31" s="1"/>
  <c r="O148" i="31" s="1"/>
  <c r="R148" i="31" s="1"/>
  <c r="M148" i="31"/>
  <c r="I146" i="31"/>
  <c r="V146" i="31"/>
  <c r="N145" i="31"/>
  <c r="O145" i="31" s="1"/>
  <c r="R145" i="31" s="1"/>
  <c r="V145" i="31" s="1"/>
  <c r="K136" i="31"/>
  <c r="L136" i="31"/>
  <c r="N136" i="31" s="1"/>
  <c r="O136" i="31" s="1"/>
  <c r="R136" i="31" s="1"/>
  <c r="M136" i="31"/>
  <c r="I134" i="31"/>
  <c r="N133" i="31"/>
  <c r="O133" i="31" s="1"/>
  <c r="R133" i="31" s="1"/>
  <c r="V133" i="31" s="1"/>
  <c r="K124" i="31"/>
  <c r="L124" i="31"/>
  <c r="N124" i="31" s="1"/>
  <c r="O124" i="31" s="1"/>
  <c r="R124" i="31" s="1"/>
  <c r="V124" i="31" s="1"/>
  <c r="M124" i="31"/>
  <c r="I122" i="31"/>
  <c r="V122" i="31"/>
  <c r="N121" i="31"/>
  <c r="O121" i="31" s="1"/>
  <c r="R121" i="31" s="1"/>
  <c r="V121" i="31" s="1"/>
  <c r="K112" i="31"/>
  <c r="L112" i="31"/>
  <c r="N112" i="31" s="1"/>
  <c r="O112" i="31" s="1"/>
  <c r="R112" i="31" s="1"/>
  <c r="M112" i="31"/>
  <c r="I110" i="31"/>
  <c r="N109" i="31"/>
  <c r="O109" i="31" s="1"/>
  <c r="R109" i="31" s="1"/>
  <c r="V109" i="31" s="1"/>
  <c r="K100" i="31"/>
  <c r="L100" i="31"/>
  <c r="N100" i="31" s="1"/>
  <c r="O100" i="31" s="1"/>
  <c r="R100" i="31" s="1"/>
  <c r="V100" i="31" s="1"/>
  <c r="M100" i="31"/>
  <c r="I98" i="31"/>
  <c r="V98" i="31"/>
  <c r="N97" i="31"/>
  <c r="O97" i="31" s="1"/>
  <c r="R97" i="31" s="1"/>
  <c r="K88" i="31"/>
  <c r="L88" i="31"/>
  <c r="N88" i="31" s="1"/>
  <c r="O88" i="31" s="1"/>
  <c r="R88" i="31" s="1"/>
  <c r="V88" i="31" s="1"/>
  <c r="M88" i="31"/>
  <c r="I86" i="31"/>
  <c r="V86" i="31"/>
  <c r="K76" i="31"/>
  <c r="L76" i="31"/>
  <c r="N76" i="31" s="1"/>
  <c r="O76" i="31" s="1"/>
  <c r="R76" i="31" s="1"/>
  <c r="V76" i="31" s="1"/>
  <c r="M76" i="31"/>
  <c r="I74" i="31"/>
  <c r="V74" i="31"/>
  <c r="N73" i="31"/>
  <c r="O73" i="31" s="1"/>
  <c r="R73" i="31" s="1"/>
  <c r="V73" i="31" s="1"/>
  <c r="M64" i="31"/>
  <c r="L64" i="31"/>
  <c r="N64" i="31" s="1"/>
  <c r="O64" i="31" s="1"/>
  <c r="R64" i="31" s="1"/>
  <c r="V64" i="31" s="1"/>
  <c r="K64" i="31"/>
  <c r="I62" i="31"/>
  <c r="M52" i="31"/>
  <c r="K52" i="31"/>
  <c r="L52" i="31"/>
  <c r="N52" i="31" s="1"/>
  <c r="O52" i="31" s="1"/>
  <c r="R52" i="31" s="1"/>
  <c r="V52" i="31" s="1"/>
  <c r="I50" i="31"/>
  <c r="N49" i="31"/>
  <c r="O49" i="31" s="1"/>
  <c r="R49" i="31" s="1"/>
  <c r="V49" i="31" s="1"/>
  <c r="M40" i="31"/>
  <c r="K40" i="31"/>
  <c r="L40" i="31"/>
  <c r="N40" i="31" s="1"/>
  <c r="O40" i="31" s="1"/>
  <c r="R40" i="31" s="1"/>
  <c r="V40" i="31" s="1"/>
  <c r="I38" i="31"/>
  <c r="N37" i="31"/>
  <c r="O37" i="31" s="1"/>
  <c r="R37" i="31" s="1"/>
  <c r="M28" i="31"/>
  <c r="K28" i="31"/>
  <c r="L28" i="31"/>
  <c r="N28" i="31" s="1"/>
  <c r="O28" i="31" s="1"/>
  <c r="R28" i="31" s="1"/>
  <c r="V28" i="31" s="1"/>
  <c r="I26" i="31"/>
  <c r="N25" i="31"/>
  <c r="O25" i="31" s="1"/>
  <c r="R25" i="31" s="1"/>
  <c r="V25" i="31" s="1"/>
  <c r="M16" i="31"/>
  <c r="K16" i="31"/>
  <c r="L16" i="31"/>
  <c r="N16" i="31" s="1"/>
  <c r="O16" i="31" s="1"/>
  <c r="R16" i="31" s="1"/>
  <c r="V16" i="31" s="1"/>
  <c r="L178" i="31"/>
  <c r="L175" i="31"/>
  <c r="L172" i="31"/>
  <c r="N172" i="31" s="1"/>
  <c r="O172" i="31" s="1"/>
  <c r="R172" i="31" s="1"/>
  <c r="V172" i="31" s="1"/>
  <c r="L169" i="31"/>
  <c r="L166" i="31"/>
  <c r="N166" i="31" s="1"/>
  <c r="O166" i="31" s="1"/>
  <c r="R166" i="31" s="1"/>
  <c r="V166" i="31" s="1"/>
  <c r="L163" i="31"/>
  <c r="N163" i="31" s="1"/>
  <c r="O163" i="31" s="1"/>
  <c r="R163" i="31" s="1"/>
  <c r="V163" i="31" s="1"/>
  <c r="L160" i="31"/>
  <c r="K156" i="31"/>
  <c r="L155" i="31"/>
  <c r="M152" i="31"/>
  <c r="N152" i="31" s="1"/>
  <c r="O152" i="31" s="1"/>
  <c r="R152" i="31" s="1"/>
  <c r="V152" i="31" s="1"/>
  <c r="M131" i="31"/>
  <c r="N131" i="31" s="1"/>
  <c r="O131" i="31" s="1"/>
  <c r="R131" i="31" s="1"/>
  <c r="V131" i="31" s="1"/>
  <c r="M122" i="31"/>
  <c r="M113" i="31"/>
  <c r="L153" i="31"/>
  <c r="M153" i="31"/>
  <c r="N153" i="31" s="1"/>
  <c r="O153" i="31" s="1"/>
  <c r="R153" i="31" s="1"/>
  <c r="V151" i="31"/>
  <c r="N150" i="31"/>
  <c r="O150" i="31" s="1"/>
  <c r="R150" i="31" s="1"/>
  <c r="T150" i="31" s="1"/>
  <c r="K141" i="31"/>
  <c r="L141" i="31"/>
  <c r="N141" i="31" s="1"/>
  <c r="O141" i="31" s="1"/>
  <c r="R141" i="31" s="1"/>
  <c r="V141" i="31" s="1"/>
  <c r="M141" i="31"/>
  <c r="V139" i="31"/>
  <c r="N138" i="31"/>
  <c r="O138" i="31" s="1"/>
  <c r="R138" i="31" s="1"/>
  <c r="V138" i="31" s="1"/>
  <c r="K129" i="31"/>
  <c r="L129" i="31"/>
  <c r="M129" i="31"/>
  <c r="N129" i="31" s="1"/>
  <c r="O129" i="31" s="1"/>
  <c r="R129" i="31" s="1"/>
  <c r="V129" i="31" s="1"/>
  <c r="V127" i="31"/>
  <c r="N126" i="31"/>
  <c r="O126" i="31" s="1"/>
  <c r="R126" i="31" s="1"/>
  <c r="V126" i="31" s="1"/>
  <c r="K117" i="31"/>
  <c r="L117" i="31"/>
  <c r="N117" i="31" s="1"/>
  <c r="O117" i="31" s="1"/>
  <c r="R117" i="31" s="1"/>
  <c r="V117" i="31" s="1"/>
  <c r="M117" i="31"/>
  <c r="V115" i="31"/>
  <c r="N114" i="31"/>
  <c r="O114" i="31" s="1"/>
  <c r="R114" i="31" s="1"/>
  <c r="V114" i="31" s="1"/>
  <c r="M105" i="31"/>
  <c r="N105" i="31" s="1"/>
  <c r="O105" i="31" s="1"/>
  <c r="R105" i="31" s="1"/>
  <c r="V105" i="31" s="1"/>
  <c r="K105" i="31"/>
  <c r="L105" i="31"/>
  <c r="I103" i="31"/>
  <c r="V103" i="31"/>
  <c r="N102" i="31"/>
  <c r="O102" i="31" s="1"/>
  <c r="R102" i="31" s="1"/>
  <c r="V102" i="31" s="1"/>
  <c r="M93" i="31"/>
  <c r="I91" i="31"/>
  <c r="V91" i="31"/>
  <c r="N90" i="31"/>
  <c r="O90" i="31" s="1"/>
  <c r="R90" i="31" s="1"/>
  <c r="V90" i="31" s="1"/>
  <c r="M81" i="31"/>
  <c r="N81" i="31" s="1"/>
  <c r="O81" i="31" s="1"/>
  <c r="R81" i="31" s="1"/>
  <c r="V81" i="31" s="1"/>
  <c r="K81" i="31"/>
  <c r="L81" i="31"/>
  <c r="I79" i="31"/>
  <c r="V79" i="31"/>
  <c r="N78" i="31"/>
  <c r="O78" i="31" s="1"/>
  <c r="R78" i="31" s="1"/>
  <c r="M69" i="31"/>
  <c r="K69" i="31"/>
  <c r="L69" i="31"/>
  <c r="N69" i="31" s="1"/>
  <c r="O69" i="31" s="1"/>
  <c r="R69" i="31" s="1"/>
  <c r="V69" i="31" s="1"/>
  <c r="I67" i="31"/>
  <c r="V67" i="31"/>
  <c r="N66" i="31"/>
  <c r="O66" i="31" s="1"/>
  <c r="R66" i="31" s="1"/>
  <c r="V66" i="31" s="1"/>
  <c r="K57" i="31"/>
  <c r="L57" i="31"/>
  <c r="M57" i="31"/>
  <c r="N57" i="31" s="1"/>
  <c r="O57" i="31" s="1"/>
  <c r="R57" i="31" s="1"/>
  <c r="V57" i="31" s="1"/>
  <c r="I55" i="31"/>
  <c r="V55" i="31"/>
  <c r="N54" i="31"/>
  <c r="O54" i="31" s="1"/>
  <c r="R54" i="31" s="1"/>
  <c r="V54" i="31" s="1"/>
  <c r="K45" i="31"/>
  <c r="L45" i="31"/>
  <c r="N45" i="31" s="1"/>
  <c r="O45" i="31" s="1"/>
  <c r="R45" i="31" s="1"/>
  <c r="V45" i="31" s="1"/>
  <c r="M45" i="31"/>
  <c r="I43" i="31"/>
  <c r="V43" i="31"/>
  <c r="N42" i="31"/>
  <c r="O42" i="31" s="1"/>
  <c r="R42" i="31" s="1"/>
  <c r="V42" i="31" s="1"/>
  <c r="K33" i="31"/>
  <c r="L33" i="31"/>
  <c r="M33" i="31"/>
  <c r="N33" i="31" s="1"/>
  <c r="O33" i="31" s="1"/>
  <c r="R33" i="31" s="1"/>
  <c r="V33" i="31" s="1"/>
  <c r="I31" i="31"/>
  <c r="V31" i="31"/>
  <c r="N30" i="31"/>
  <c r="O30" i="31" s="1"/>
  <c r="R30" i="31" s="1"/>
  <c r="V30" i="31" s="1"/>
  <c r="K21" i="31"/>
  <c r="L21" i="31"/>
  <c r="N21" i="31" s="1"/>
  <c r="O21" i="31" s="1"/>
  <c r="R21" i="31" s="1"/>
  <c r="V21" i="31" s="1"/>
  <c r="M21" i="31"/>
  <c r="I19" i="31"/>
  <c r="V19" i="31"/>
  <c r="N18" i="31"/>
  <c r="O18" i="31" s="1"/>
  <c r="R18" i="31" s="1"/>
  <c r="V18" i="31" s="1"/>
  <c r="K154" i="31"/>
  <c r="K151" i="31"/>
  <c r="L131" i="31"/>
  <c r="I124" i="31"/>
  <c r="L122" i="31"/>
  <c r="I115" i="31"/>
  <c r="L113" i="31"/>
  <c r="N113" i="31" s="1"/>
  <c r="O113" i="31" s="1"/>
  <c r="R113" i="31" s="1"/>
  <c r="V113" i="31" s="1"/>
  <c r="P162" i="8"/>
  <c r="T167" i="8"/>
  <c r="S167" i="8"/>
  <c r="R167" i="8"/>
  <c r="M171" i="8"/>
  <c r="N171" i="8" s="1"/>
  <c r="T169" i="8"/>
  <c r="S169" i="8"/>
  <c r="R169" i="8"/>
  <c r="P170" i="8"/>
  <c r="P168" i="8"/>
  <c r="P171" i="8"/>
  <c r="J28" i="8"/>
  <c r="K28" i="8"/>
  <c r="L28" i="8"/>
  <c r="J16" i="8"/>
  <c r="K16" i="8"/>
  <c r="L16" i="8"/>
  <c r="J153" i="8"/>
  <c r="K153" i="8"/>
  <c r="L153" i="8"/>
  <c r="J141" i="8"/>
  <c r="K141" i="8"/>
  <c r="L141" i="8"/>
  <c r="J129" i="8"/>
  <c r="K129" i="8"/>
  <c r="L129" i="8"/>
  <c r="J117" i="8"/>
  <c r="K117" i="8"/>
  <c r="L117" i="8"/>
  <c r="J105" i="8"/>
  <c r="K105" i="8"/>
  <c r="L105" i="8"/>
  <c r="J93" i="8"/>
  <c r="K93" i="8"/>
  <c r="L93" i="8"/>
  <c r="J81" i="8"/>
  <c r="K81" i="8"/>
  <c r="L81" i="8"/>
  <c r="J69" i="8"/>
  <c r="K69" i="8"/>
  <c r="L69" i="8"/>
  <c r="J57" i="8"/>
  <c r="K57" i="8"/>
  <c r="L57" i="8"/>
  <c r="J45" i="8"/>
  <c r="K45" i="8"/>
  <c r="L45" i="8"/>
  <c r="J33" i="8"/>
  <c r="K33" i="8"/>
  <c r="L33" i="8"/>
  <c r="J21" i="8"/>
  <c r="K21" i="8"/>
  <c r="L21" i="8"/>
  <c r="J136" i="8"/>
  <c r="K136" i="8"/>
  <c r="M136" i="8" s="1"/>
  <c r="N136" i="8" s="1"/>
  <c r="L136" i="8"/>
  <c r="J124" i="8"/>
  <c r="K124" i="8"/>
  <c r="L124" i="8"/>
  <c r="J158" i="8"/>
  <c r="K158" i="8"/>
  <c r="L158" i="8"/>
  <c r="J146" i="8"/>
  <c r="K146" i="8"/>
  <c r="L146" i="8"/>
  <c r="J134" i="8"/>
  <c r="K134" i="8"/>
  <c r="L134" i="8"/>
  <c r="M124" i="8"/>
  <c r="N124" i="8" s="1"/>
  <c r="Q124" i="8" s="1"/>
  <c r="J122" i="8"/>
  <c r="K122" i="8"/>
  <c r="L122" i="8"/>
  <c r="J110" i="8"/>
  <c r="K110" i="8"/>
  <c r="L110" i="8"/>
  <c r="J98" i="8"/>
  <c r="K98" i="8"/>
  <c r="L98" i="8"/>
  <c r="J86" i="8"/>
  <c r="K86" i="8"/>
  <c r="L86" i="8"/>
  <c r="J74" i="8"/>
  <c r="K74" i="8"/>
  <c r="L74" i="8"/>
  <c r="J62" i="8"/>
  <c r="K62" i="8"/>
  <c r="L62" i="8"/>
  <c r="J50" i="8"/>
  <c r="K50" i="8"/>
  <c r="L50" i="8"/>
  <c r="J38" i="8"/>
  <c r="K38" i="8"/>
  <c r="L38" i="8"/>
  <c r="M28" i="8"/>
  <c r="N28" i="8" s="1"/>
  <c r="J26" i="8"/>
  <c r="K26" i="8"/>
  <c r="L26" i="8"/>
  <c r="M16" i="8"/>
  <c r="N16" i="8" s="1"/>
  <c r="Q171" i="8"/>
  <c r="Q170" i="8"/>
  <c r="Q169" i="8"/>
  <c r="Q168" i="8"/>
  <c r="Q167" i="8"/>
  <c r="Q162" i="8"/>
  <c r="M153" i="8"/>
  <c r="N153" i="8" s="1"/>
  <c r="P153" i="8" s="1"/>
  <c r="J151" i="8"/>
  <c r="K151" i="8"/>
  <c r="L151" i="8"/>
  <c r="M141" i="8"/>
  <c r="N141" i="8" s="1"/>
  <c r="P141" i="8" s="1"/>
  <c r="J139" i="8"/>
  <c r="K139" i="8"/>
  <c r="L139" i="8"/>
  <c r="M129" i="8"/>
  <c r="N129" i="8" s="1"/>
  <c r="P129" i="8" s="1"/>
  <c r="J127" i="8"/>
  <c r="K127" i="8"/>
  <c r="L127" i="8"/>
  <c r="M117" i="8"/>
  <c r="N117" i="8" s="1"/>
  <c r="Q117" i="8" s="1"/>
  <c r="J115" i="8"/>
  <c r="K115" i="8"/>
  <c r="L115" i="8"/>
  <c r="M105" i="8"/>
  <c r="N105" i="8" s="1"/>
  <c r="Q105" i="8" s="1"/>
  <c r="J103" i="8"/>
  <c r="K103" i="8"/>
  <c r="L103" i="8"/>
  <c r="M93" i="8"/>
  <c r="N93" i="8" s="1"/>
  <c r="J91" i="8"/>
  <c r="K91" i="8"/>
  <c r="L91" i="8"/>
  <c r="M81" i="8"/>
  <c r="N81" i="8" s="1"/>
  <c r="J79" i="8"/>
  <c r="K79" i="8"/>
  <c r="L79" i="8"/>
  <c r="M69" i="8"/>
  <c r="N69" i="8" s="1"/>
  <c r="J67" i="8"/>
  <c r="K67" i="8"/>
  <c r="L67" i="8"/>
  <c r="M57" i="8"/>
  <c r="N57" i="8" s="1"/>
  <c r="J55" i="8"/>
  <c r="K55" i="8"/>
  <c r="L55" i="8"/>
  <c r="M45" i="8"/>
  <c r="N45" i="8" s="1"/>
  <c r="J43" i="8"/>
  <c r="K43" i="8"/>
  <c r="L43" i="8"/>
  <c r="M33" i="8"/>
  <c r="N33" i="8" s="1"/>
  <c r="J31" i="8"/>
  <c r="K31" i="8"/>
  <c r="L31" i="8"/>
  <c r="M21" i="8"/>
  <c r="N21" i="8" s="1"/>
  <c r="J19" i="8"/>
  <c r="K19" i="8"/>
  <c r="L19" i="8"/>
  <c r="Q134" i="8"/>
  <c r="J112" i="8"/>
  <c r="K112" i="8"/>
  <c r="M112" i="8" s="1"/>
  <c r="N112" i="8" s="1"/>
  <c r="L112" i="8"/>
  <c r="J88" i="8"/>
  <c r="K88" i="8"/>
  <c r="M88" i="8" s="1"/>
  <c r="N88" i="8" s="1"/>
  <c r="L88" i="8"/>
  <c r="P79" i="8"/>
  <c r="J40" i="8"/>
  <c r="K40" i="8"/>
  <c r="M40" i="8" s="1"/>
  <c r="N40" i="8" s="1"/>
  <c r="L40" i="8"/>
  <c r="M158" i="8"/>
  <c r="N158" i="8" s="1"/>
  <c r="Q158" i="8" s="1"/>
  <c r="J156" i="8"/>
  <c r="K156" i="8"/>
  <c r="L156" i="8"/>
  <c r="M146" i="8"/>
  <c r="N146" i="8" s="1"/>
  <c r="P146" i="8" s="1"/>
  <c r="J144" i="8"/>
  <c r="K144" i="8"/>
  <c r="L144" i="8"/>
  <c r="M134" i="8"/>
  <c r="N134" i="8" s="1"/>
  <c r="P134" i="8" s="1"/>
  <c r="J132" i="8"/>
  <c r="K132" i="8"/>
  <c r="L132" i="8"/>
  <c r="M122" i="8"/>
  <c r="N122" i="8" s="1"/>
  <c r="Q122" i="8" s="1"/>
  <c r="J120" i="8"/>
  <c r="K120" i="8"/>
  <c r="L120" i="8"/>
  <c r="M110" i="8"/>
  <c r="N110" i="8" s="1"/>
  <c r="Q110" i="8" s="1"/>
  <c r="J108" i="8"/>
  <c r="K108" i="8"/>
  <c r="L108" i="8"/>
  <c r="M98" i="8"/>
  <c r="N98" i="8" s="1"/>
  <c r="J96" i="8"/>
  <c r="M96" i="8" s="1"/>
  <c r="N96" i="8" s="1"/>
  <c r="K96" i="8"/>
  <c r="L96" i="8"/>
  <c r="M86" i="8"/>
  <c r="N86" i="8" s="1"/>
  <c r="J84" i="8"/>
  <c r="K84" i="8"/>
  <c r="L84" i="8"/>
  <c r="M74" i="8"/>
  <c r="N74" i="8" s="1"/>
  <c r="J72" i="8"/>
  <c r="M72" i="8" s="1"/>
  <c r="N72" i="8" s="1"/>
  <c r="K72" i="8"/>
  <c r="L72" i="8"/>
  <c r="M62" i="8"/>
  <c r="N62" i="8" s="1"/>
  <c r="J60" i="8"/>
  <c r="K60" i="8"/>
  <c r="L60" i="8"/>
  <c r="M50" i="8"/>
  <c r="N50" i="8" s="1"/>
  <c r="J48" i="8"/>
  <c r="M48" i="8" s="1"/>
  <c r="N48" i="8" s="1"/>
  <c r="K48" i="8"/>
  <c r="L48" i="8"/>
  <c r="M38" i="8"/>
  <c r="N38" i="8" s="1"/>
  <c r="J36" i="8"/>
  <c r="K36" i="8"/>
  <c r="L36" i="8"/>
  <c r="M26" i="8"/>
  <c r="N26" i="8" s="1"/>
  <c r="J24" i="8"/>
  <c r="M24" i="8" s="1"/>
  <c r="N24" i="8" s="1"/>
  <c r="K24" i="8"/>
  <c r="L24" i="8"/>
  <c r="J161" i="8"/>
  <c r="K161" i="8"/>
  <c r="M161" i="8" s="1"/>
  <c r="N161" i="8" s="1"/>
  <c r="L161" i="8"/>
  <c r="M151" i="8"/>
  <c r="N151" i="8" s="1"/>
  <c r="P151" i="8" s="1"/>
  <c r="J149" i="8"/>
  <c r="K149" i="8"/>
  <c r="L149" i="8"/>
  <c r="M139" i="8"/>
  <c r="N139" i="8" s="1"/>
  <c r="P139" i="8" s="1"/>
  <c r="J137" i="8"/>
  <c r="K137" i="8"/>
  <c r="L137" i="8"/>
  <c r="M127" i="8"/>
  <c r="N127" i="8" s="1"/>
  <c r="Q127" i="8" s="1"/>
  <c r="J125" i="8"/>
  <c r="K125" i="8"/>
  <c r="L125" i="8"/>
  <c r="M115" i="8"/>
  <c r="N115" i="8" s="1"/>
  <c r="P115" i="8" s="1"/>
  <c r="J113" i="8"/>
  <c r="K113" i="8"/>
  <c r="L113" i="8"/>
  <c r="M103" i="8"/>
  <c r="N103" i="8" s="1"/>
  <c r="P103" i="8" s="1"/>
  <c r="J101" i="8"/>
  <c r="K101" i="8"/>
  <c r="M101" i="8" s="1"/>
  <c r="N101" i="8" s="1"/>
  <c r="L101" i="8"/>
  <c r="M91" i="8"/>
  <c r="N91" i="8" s="1"/>
  <c r="J89" i="8"/>
  <c r="K89" i="8"/>
  <c r="L89" i="8"/>
  <c r="M79" i="8"/>
  <c r="N79" i="8" s="1"/>
  <c r="Q79" i="8" s="1"/>
  <c r="J77" i="8"/>
  <c r="K77" i="8"/>
  <c r="L77" i="8"/>
  <c r="M67" i="8"/>
  <c r="N67" i="8" s="1"/>
  <c r="P67" i="8" s="1"/>
  <c r="J65" i="8"/>
  <c r="K65" i="8"/>
  <c r="L65" i="8"/>
  <c r="M55" i="8"/>
  <c r="N55" i="8" s="1"/>
  <c r="J53" i="8"/>
  <c r="K53" i="8"/>
  <c r="L53" i="8"/>
  <c r="M43" i="8"/>
  <c r="N43" i="8" s="1"/>
  <c r="P43" i="8" s="1"/>
  <c r="J41" i="8"/>
  <c r="K41" i="8"/>
  <c r="L41" i="8"/>
  <c r="M31" i="8"/>
  <c r="N31" i="8" s="1"/>
  <c r="J29" i="8"/>
  <c r="K29" i="8"/>
  <c r="L29" i="8"/>
  <c r="M19" i="8"/>
  <c r="N19" i="8" s="1"/>
  <c r="J17" i="8"/>
  <c r="K17" i="8"/>
  <c r="L17" i="8"/>
  <c r="J160" i="8"/>
  <c r="K160" i="8"/>
  <c r="M160" i="8" s="1"/>
  <c r="N160" i="8" s="1"/>
  <c r="L160" i="8"/>
  <c r="P91" i="8"/>
  <c r="Q91" i="8"/>
  <c r="J64" i="8"/>
  <c r="K64" i="8"/>
  <c r="M64" i="8" s="1"/>
  <c r="N64" i="8" s="1"/>
  <c r="L64" i="8"/>
  <c r="J52" i="8"/>
  <c r="K52" i="8"/>
  <c r="M52" i="8" s="1"/>
  <c r="N52" i="8" s="1"/>
  <c r="L52" i="8"/>
  <c r="M156" i="8"/>
  <c r="N156" i="8" s="1"/>
  <c r="P156" i="8" s="1"/>
  <c r="J154" i="8"/>
  <c r="K154" i="8"/>
  <c r="L154" i="8"/>
  <c r="M154" i="8" s="1"/>
  <c r="N154" i="8" s="1"/>
  <c r="M144" i="8"/>
  <c r="N144" i="8" s="1"/>
  <c r="P144" i="8" s="1"/>
  <c r="J142" i="8"/>
  <c r="K142" i="8"/>
  <c r="L142" i="8"/>
  <c r="M132" i="8"/>
  <c r="N132" i="8" s="1"/>
  <c r="P132" i="8" s="1"/>
  <c r="J130" i="8"/>
  <c r="K130" i="8"/>
  <c r="L130" i="8"/>
  <c r="M120" i="8"/>
  <c r="N120" i="8" s="1"/>
  <c r="P120" i="8" s="1"/>
  <c r="J118" i="8"/>
  <c r="K118" i="8"/>
  <c r="L118" i="8"/>
  <c r="M108" i="8"/>
  <c r="N108" i="8" s="1"/>
  <c r="Q108" i="8" s="1"/>
  <c r="J106" i="8"/>
  <c r="K106" i="8"/>
  <c r="L106" i="8"/>
  <c r="J94" i="8"/>
  <c r="K94" i="8"/>
  <c r="M94" i="8" s="1"/>
  <c r="N94" i="8" s="1"/>
  <c r="L94" i="8"/>
  <c r="M84" i="8"/>
  <c r="N84" i="8" s="1"/>
  <c r="P84" i="8" s="1"/>
  <c r="J82" i="8"/>
  <c r="K82" i="8"/>
  <c r="L82" i="8"/>
  <c r="J70" i="8"/>
  <c r="K70" i="8"/>
  <c r="M70" i="8" s="1"/>
  <c r="N70" i="8" s="1"/>
  <c r="L70" i="8"/>
  <c r="M60" i="8"/>
  <c r="N60" i="8" s="1"/>
  <c r="P60" i="8" s="1"/>
  <c r="J58" i="8"/>
  <c r="K58" i="8"/>
  <c r="L58" i="8"/>
  <c r="J46" i="8"/>
  <c r="K46" i="8"/>
  <c r="M46" i="8" s="1"/>
  <c r="N46" i="8" s="1"/>
  <c r="L46" i="8"/>
  <c r="M36" i="8"/>
  <c r="N36" i="8" s="1"/>
  <c r="P36" i="8" s="1"/>
  <c r="J34" i="8"/>
  <c r="K34" i="8"/>
  <c r="L34" i="8"/>
  <c r="J22" i="8"/>
  <c r="K22" i="8"/>
  <c r="M22" i="8" s="1"/>
  <c r="N22" i="8" s="1"/>
  <c r="L22" i="8"/>
  <c r="Q115" i="8"/>
  <c r="Q103" i="8"/>
  <c r="Q67" i="8"/>
  <c r="P55" i="8"/>
  <c r="Q55" i="8"/>
  <c r="J159" i="8"/>
  <c r="K159" i="8"/>
  <c r="L159" i="8"/>
  <c r="M149" i="8"/>
  <c r="N149" i="8" s="1"/>
  <c r="Q149" i="8" s="1"/>
  <c r="J147" i="8"/>
  <c r="K147" i="8"/>
  <c r="L147" i="8"/>
  <c r="M137" i="8"/>
  <c r="N137" i="8" s="1"/>
  <c r="Q137" i="8" s="1"/>
  <c r="J135" i="8"/>
  <c r="K135" i="8"/>
  <c r="L135" i="8"/>
  <c r="M125" i="8"/>
  <c r="N125" i="8" s="1"/>
  <c r="Q125" i="8" s="1"/>
  <c r="J123" i="8"/>
  <c r="K123" i="8"/>
  <c r="L123" i="8"/>
  <c r="M113" i="8"/>
  <c r="N113" i="8" s="1"/>
  <c r="Q113" i="8" s="1"/>
  <c r="J111" i="8"/>
  <c r="K111" i="8"/>
  <c r="L111" i="8"/>
  <c r="K99" i="8"/>
  <c r="L99" i="8"/>
  <c r="M89" i="8"/>
  <c r="N89" i="8" s="1"/>
  <c r="P89" i="8" s="1"/>
  <c r="J87" i="8"/>
  <c r="K87" i="8"/>
  <c r="L87" i="8"/>
  <c r="M77" i="8"/>
  <c r="N77" i="8" s="1"/>
  <c r="P77" i="8" s="1"/>
  <c r="J75" i="8"/>
  <c r="K75" i="8"/>
  <c r="L75" i="8"/>
  <c r="M65" i="8"/>
  <c r="N65" i="8" s="1"/>
  <c r="P65" i="8" s="1"/>
  <c r="J63" i="8"/>
  <c r="K63" i="8"/>
  <c r="L63" i="8"/>
  <c r="M53" i="8"/>
  <c r="N53" i="8" s="1"/>
  <c r="P53" i="8" s="1"/>
  <c r="J51" i="8"/>
  <c r="K51" i="8"/>
  <c r="L51" i="8"/>
  <c r="M41" i="8"/>
  <c r="N41" i="8" s="1"/>
  <c r="P41" i="8" s="1"/>
  <c r="J39" i="8"/>
  <c r="K39" i="8"/>
  <c r="L39" i="8"/>
  <c r="M29" i="8"/>
  <c r="N29" i="8" s="1"/>
  <c r="P29" i="8" s="1"/>
  <c r="J27" i="8"/>
  <c r="K27" i="8"/>
  <c r="L27" i="8"/>
  <c r="M17" i="8"/>
  <c r="N17" i="8" s="1"/>
  <c r="P17" i="8" s="1"/>
  <c r="J15" i="8"/>
  <c r="K15" i="8"/>
  <c r="L15" i="8"/>
  <c r="L179" i="8"/>
  <c r="M179" i="8" s="1"/>
  <c r="N179" i="8" s="1"/>
  <c r="L178" i="8"/>
  <c r="M178" i="8" s="1"/>
  <c r="N178" i="8" s="1"/>
  <c r="L177" i="8"/>
  <c r="M177" i="8" s="1"/>
  <c r="N177" i="8" s="1"/>
  <c r="L176" i="8"/>
  <c r="M176" i="8" s="1"/>
  <c r="N176" i="8" s="1"/>
  <c r="L175" i="8"/>
  <c r="M175" i="8" s="1"/>
  <c r="N175" i="8" s="1"/>
  <c r="L174" i="8"/>
  <c r="M174" i="8" s="1"/>
  <c r="N174" i="8" s="1"/>
  <c r="L173" i="8"/>
  <c r="L172" i="8"/>
  <c r="L171" i="8"/>
  <c r="L170" i="8"/>
  <c r="L169" i="8"/>
  <c r="L168" i="8"/>
  <c r="L167" i="8"/>
  <c r="L166" i="8"/>
  <c r="L165" i="8"/>
  <c r="L164" i="8"/>
  <c r="L163" i="8"/>
  <c r="L162" i="8"/>
  <c r="Q151" i="8"/>
  <c r="Q139" i="8"/>
  <c r="J99" i="8"/>
  <c r="J100" i="8"/>
  <c r="K100" i="8"/>
  <c r="M100" i="8" s="1"/>
  <c r="N100" i="8" s="1"/>
  <c r="L100" i="8"/>
  <c r="M42" i="8"/>
  <c r="N42" i="8" s="1"/>
  <c r="P42" i="8" s="1"/>
  <c r="P31" i="8"/>
  <c r="Q31" i="8"/>
  <c r="J152" i="8"/>
  <c r="K152" i="8"/>
  <c r="L152" i="8"/>
  <c r="M142" i="8"/>
  <c r="N142" i="8" s="1"/>
  <c r="P142" i="8" s="1"/>
  <c r="J140" i="8"/>
  <c r="K140" i="8"/>
  <c r="L140" i="8"/>
  <c r="M130" i="8"/>
  <c r="N130" i="8" s="1"/>
  <c r="P130" i="8" s="1"/>
  <c r="J128" i="8"/>
  <c r="K128" i="8"/>
  <c r="L128" i="8"/>
  <c r="M118" i="8"/>
  <c r="N118" i="8" s="1"/>
  <c r="Q118" i="8" s="1"/>
  <c r="J116" i="8"/>
  <c r="K116" i="8"/>
  <c r="L116" i="8"/>
  <c r="M106" i="8"/>
  <c r="N106" i="8" s="1"/>
  <c r="P106" i="8" s="1"/>
  <c r="J104" i="8"/>
  <c r="K104" i="8"/>
  <c r="L104" i="8"/>
  <c r="J92" i="8"/>
  <c r="K92" i="8"/>
  <c r="L92" i="8"/>
  <c r="M82" i="8"/>
  <c r="N82" i="8" s="1"/>
  <c r="P82" i="8" s="1"/>
  <c r="J80" i="8"/>
  <c r="K80" i="8"/>
  <c r="L80" i="8"/>
  <c r="J68" i="8"/>
  <c r="K68" i="8"/>
  <c r="L68" i="8"/>
  <c r="M58" i="8"/>
  <c r="N58" i="8" s="1"/>
  <c r="P58" i="8" s="1"/>
  <c r="J56" i="8"/>
  <c r="K56" i="8"/>
  <c r="L56" i="8"/>
  <c r="J44" i="8"/>
  <c r="K44" i="8"/>
  <c r="L44" i="8"/>
  <c r="M34" i="8"/>
  <c r="N34" i="8" s="1"/>
  <c r="P34" i="8" s="1"/>
  <c r="J32" i="8"/>
  <c r="K32" i="8"/>
  <c r="L32" i="8"/>
  <c r="J20" i="8"/>
  <c r="K20" i="8"/>
  <c r="L20" i="8"/>
  <c r="K179" i="8"/>
  <c r="K178" i="8"/>
  <c r="K177" i="8"/>
  <c r="K176" i="8"/>
  <c r="K175" i="8"/>
  <c r="K174" i="8"/>
  <c r="K173" i="8"/>
  <c r="M173" i="8" s="1"/>
  <c r="N173" i="8" s="1"/>
  <c r="K172" i="8"/>
  <c r="M172" i="8" s="1"/>
  <c r="N172" i="8" s="1"/>
  <c r="K171" i="8"/>
  <c r="K170" i="8"/>
  <c r="K169" i="8"/>
  <c r="K168" i="8"/>
  <c r="K167" i="8"/>
  <c r="K166" i="8"/>
  <c r="M166" i="8" s="1"/>
  <c r="N166" i="8" s="1"/>
  <c r="K165" i="8"/>
  <c r="M165" i="8" s="1"/>
  <c r="N165" i="8" s="1"/>
  <c r="K164" i="8"/>
  <c r="M164" i="8" s="1"/>
  <c r="N164" i="8" s="1"/>
  <c r="K163" i="8"/>
  <c r="M163" i="8" s="1"/>
  <c r="N163" i="8" s="1"/>
  <c r="J162" i="8"/>
  <c r="M90" i="8"/>
  <c r="N90" i="8" s="1"/>
  <c r="P90" i="8" s="1"/>
  <c r="J76" i="8"/>
  <c r="K76" i="8"/>
  <c r="M76" i="8" s="1"/>
  <c r="N76" i="8" s="1"/>
  <c r="L76" i="8"/>
  <c r="P19" i="8"/>
  <c r="Q19" i="8"/>
  <c r="M159" i="8"/>
  <c r="N159" i="8" s="1"/>
  <c r="P159" i="8" s="1"/>
  <c r="J157" i="8"/>
  <c r="K157" i="8"/>
  <c r="L157" i="8"/>
  <c r="M147" i="8"/>
  <c r="N147" i="8" s="1"/>
  <c r="P147" i="8" s="1"/>
  <c r="J145" i="8"/>
  <c r="K145" i="8"/>
  <c r="L145" i="8"/>
  <c r="M135" i="8"/>
  <c r="N135" i="8" s="1"/>
  <c r="P135" i="8" s="1"/>
  <c r="J133" i="8"/>
  <c r="K133" i="8"/>
  <c r="L133" i="8"/>
  <c r="P124" i="8"/>
  <c r="M123" i="8"/>
  <c r="N123" i="8" s="1"/>
  <c r="Q123" i="8" s="1"/>
  <c r="J121" i="8"/>
  <c r="M121" i="8" s="1"/>
  <c r="N121" i="8" s="1"/>
  <c r="K121" i="8"/>
  <c r="L121" i="8"/>
  <c r="M111" i="8"/>
  <c r="N111" i="8" s="1"/>
  <c r="P111" i="8" s="1"/>
  <c r="J109" i="8"/>
  <c r="K109" i="8"/>
  <c r="L109" i="8"/>
  <c r="M99" i="8"/>
  <c r="N99" i="8" s="1"/>
  <c r="P99" i="8" s="1"/>
  <c r="J97" i="8"/>
  <c r="K97" i="8"/>
  <c r="L97" i="8"/>
  <c r="M87" i="8"/>
  <c r="N87" i="8" s="1"/>
  <c r="P87" i="8" s="1"/>
  <c r="J85" i="8"/>
  <c r="K85" i="8"/>
  <c r="L85" i="8"/>
  <c r="M75" i="8"/>
  <c r="N75" i="8" s="1"/>
  <c r="P75" i="8" s="1"/>
  <c r="J73" i="8"/>
  <c r="K73" i="8"/>
  <c r="L73" i="8"/>
  <c r="M63" i="8"/>
  <c r="N63" i="8" s="1"/>
  <c r="P63" i="8" s="1"/>
  <c r="J61" i="8"/>
  <c r="K61" i="8"/>
  <c r="L61" i="8"/>
  <c r="M51" i="8"/>
  <c r="N51" i="8" s="1"/>
  <c r="P51" i="8" s="1"/>
  <c r="J49" i="8"/>
  <c r="K49" i="8"/>
  <c r="L49" i="8"/>
  <c r="M39" i="8"/>
  <c r="N39" i="8" s="1"/>
  <c r="P39" i="8" s="1"/>
  <c r="J37" i="8"/>
  <c r="K37" i="8"/>
  <c r="L37" i="8"/>
  <c r="P28" i="8"/>
  <c r="Q28" i="8"/>
  <c r="M27" i="8"/>
  <c r="N27" i="8" s="1"/>
  <c r="P27" i="8" s="1"/>
  <c r="J25" i="8"/>
  <c r="K25" i="8"/>
  <c r="L25" i="8"/>
  <c r="P16" i="8"/>
  <c r="Q16" i="8"/>
  <c r="M15" i="8"/>
  <c r="N15" i="8" s="1"/>
  <c r="P15" i="8" s="1"/>
  <c r="Q106" i="8"/>
  <c r="M152" i="8"/>
  <c r="N152" i="8" s="1"/>
  <c r="P152" i="8" s="1"/>
  <c r="J150" i="8"/>
  <c r="K150" i="8"/>
  <c r="L150" i="8"/>
  <c r="M150" i="8" s="1"/>
  <c r="N150" i="8" s="1"/>
  <c r="M140" i="8"/>
  <c r="N140" i="8" s="1"/>
  <c r="P140" i="8" s="1"/>
  <c r="J138" i="8"/>
  <c r="K138" i="8"/>
  <c r="M138" i="8" s="1"/>
  <c r="N138" i="8" s="1"/>
  <c r="L138" i="8"/>
  <c r="M128" i="8"/>
  <c r="N128" i="8" s="1"/>
  <c r="Q128" i="8" s="1"/>
  <c r="J126" i="8"/>
  <c r="K126" i="8"/>
  <c r="L126" i="8"/>
  <c r="M126" i="8" s="1"/>
  <c r="N126" i="8" s="1"/>
  <c r="P117" i="8"/>
  <c r="M116" i="8"/>
  <c r="N116" i="8" s="1"/>
  <c r="Q116" i="8" s="1"/>
  <c r="J114" i="8"/>
  <c r="K114" i="8"/>
  <c r="M114" i="8" s="1"/>
  <c r="N114" i="8" s="1"/>
  <c r="L114" i="8"/>
  <c r="P105" i="8"/>
  <c r="M104" i="8"/>
  <c r="N104" i="8" s="1"/>
  <c r="P104" i="8" s="1"/>
  <c r="J102" i="8"/>
  <c r="K102" i="8"/>
  <c r="L102" i="8"/>
  <c r="M102" i="8" s="1"/>
  <c r="N102" i="8" s="1"/>
  <c r="P93" i="8"/>
  <c r="Q93" i="8"/>
  <c r="M92" i="8"/>
  <c r="N92" i="8" s="1"/>
  <c r="P92" i="8" s="1"/>
  <c r="J90" i="8"/>
  <c r="K90" i="8"/>
  <c r="L90" i="8"/>
  <c r="P81" i="8"/>
  <c r="Q81" i="8"/>
  <c r="M80" i="8"/>
  <c r="N80" i="8" s="1"/>
  <c r="P80" i="8" s="1"/>
  <c r="J78" i="8"/>
  <c r="K78" i="8"/>
  <c r="L78" i="8"/>
  <c r="M78" i="8" s="1"/>
  <c r="N78" i="8" s="1"/>
  <c r="P69" i="8"/>
  <c r="Q69" i="8"/>
  <c r="M68" i="8"/>
  <c r="N68" i="8" s="1"/>
  <c r="P68" i="8" s="1"/>
  <c r="J66" i="8"/>
  <c r="K66" i="8"/>
  <c r="M66" i="8" s="1"/>
  <c r="N66" i="8" s="1"/>
  <c r="L66" i="8"/>
  <c r="P57" i="8"/>
  <c r="Q57" i="8"/>
  <c r="M56" i="8"/>
  <c r="N56" i="8" s="1"/>
  <c r="P56" i="8" s="1"/>
  <c r="J54" i="8"/>
  <c r="K54" i="8"/>
  <c r="L54" i="8"/>
  <c r="M54" i="8" s="1"/>
  <c r="N54" i="8" s="1"/>
  <c r="P45" i="8"/>
  <c r="Q45" i="8"/>
  <c r="M44" i="8"/>
  <c r="N44" i="8" s="1"/>
  <c r="P44" i="8" s="1"/>
  <c r="J42" i="8"/>
  <c r="K42" i="8"/>
  <c r="L42" i="8"/>
  <c r="P33" i="8"/>
  <c r="Q33" i="8"/>
  <c r="M32" i="8"/>
  <c r="N32" i="8" s="1"/>
  <c r="P32" i="8" s="1"/>
  <c r="J30" i="8"/>
  <c r="K30" i="8"/>
  <c r="L30" i="8"/>
  <c r="M30" i="8" s="1"/>
  <c r="N30" i="8" s="1"/>
  <c r="P21" i="8"/>
  <c r="Q21" i="8"/>
  <c r="M20" i="8"/>
  <c r="N20" i="8" s="1"/>
  <c r="P20" i="8" s="1"/>
  <c r="J18" i="8"/>
  <c r="K18" i="8"/>
  <c r="M18" i="8" s="1"/>
  <c r="N18" i="8" s="1"/>
  <c r="L18" i="8"/>
  <c r="J148" i="8"/>
  <c r="K148" i="8"/>
  <c r="M148" i="8" s="1"/>
  <c r="N148" i="8" s="1"/>
  <c r="L148" i="8"/>
  <c r="M157" i="8"/>
  <c r="N157" i="8" s="1"/>
  <c r="P157" i="8" s="1"/>
  <c r="J155" i="8"/>
  <c r="K155" i="8"/>
  <c r="L155" i="8"/>
  <c r="M155" i="8" s="1"/>
  <c r="N155" i="8" s="1"/>
  <c r="M145" i="8"/>
  <c r="N145" i="8" s="1"/>
  <c r="P145" i="8" s="1"/>
  <c r="J143" i="8"/>
  <c r="M143" i="8" s="1"/>
  <c r="N143" i="8" s="1"/>
  <c r="K143" i="8"/>
  <c r="L143" i="8"/>
  <c r="M133" i="8"/>
  <c r="N133" i="8" s="1"/>
  <c r="Q133" i="8" s="1"/>
  <c r="J131" i="8"/>
  <c r="K131" i="8"/>
  <c r="L131" i="8"/>
  <c r="M131" i="8" s="1"/>
  <c r="N131" i="8" s="1"/>
  <c r="P122" i="8"/>
  <c r="J119" i="8"/>
  <c r="M119" i="8" s="1"/>
  <c r="N119" i="8" s="1"/>
  <c r="K119" i="8"/>
  <c r="L119" i="8"/>
  <c r="P110" i="8"/>
  <c r="M109" i="8"/>
  <c r="N109" i="8" s="1"/>
  <c r="Q109" i="8" s="1"/>
  <c r="J107" i="8"/>
  <c r="K107" i="8"/>
  <c r="L107" i="8"/>
  <c r="M107" i="8" s="1"/>
  <c r="N107" i="8" s="1"/>
  <c r="P98" i="8"/>
  <c r="Q98" i="8"/>
  <c r="M97" i="8"/>
  <c r="N97" i="8" s="1"/>
  <c r="P97" i="8" s="1"/>
  <c r="J95" i="8"/>
  <c r="M95" i="8" s="1"/>
  <c r="N95" i="8" s="1"/>
  <c r="K95" i="8"/>
  <c r="L95" i="8"/>
  <c r="P86" i="8"/>
  <c r="Q86" i="8"/>
  <c r="M85" i="8"/>
  <c r="N85" i="8" s="1"/>
  <c r="P85" i="8" s="1"/>
  <c r="J83" i="8"/>
  <c r="K83" i="8"/>
  <c r="L83" i="8"/>
  <c r="M83" i="8" s="1"/>
  <c r="N83" i="8" s="1"/>
  <c r="P74" i="8"/>
  <c r="Q74" i="8"/>
  <c r="M73" i="8"/>
  <c r="N73" i="8" s="1"/>
  <c r="P73" i="8" s="1"/>
  <c r="J71" i="8"/>
  <c r="M71" i="8" s="1"/>
  <c r="N71" i="8" s="1"/>
  <c r="K71" i="8"/>
  <c r="L71" i="8"/>
  <c r="P62" i="8"/>
  <c r="Q62" i="8"/>
  <c r="M61" i="8"/>
  <c r="N61" i="8" s="1"/>
  <c r="P61" i="8" s="1"/>
  <c r="J59" i="8"/>
  <c r="K59" i="8"/>
  <c r="L59" i="8"/>
  <c r="M59" i="8" s="1"/>
  <c r="N59" i="8" s="1"/>
  <c r="P50" i="8"/>
  <c r="Q50" i="8"/>
  <c r="M49" i="8"/>
  <c r="N49" i="8" s="1"/>
  <c r="P49" i="8" s="1"/>
  <c r="J47" i="8"/>
  <c r="M47" i="8" s="1"/>
  <c r="N47" i="8" s="1"/>
  <c r="K47" i="8"/>
  <c r="L47" i="8"/>
  <c r="P38" i="8"/>
  <c r="Q38" i="8"/>
  <c r="M37" i="8"/>
  <c r="N37" i="8" s="1"/>
  <c r="P37" i="8" s="1"/>
  <c r="J35" i="8"/>
  <c r="K35" i="8"/>
  <c r="L35" i="8"/>
  <c r="M35" i="8" s="1"/>
  <c r="N35" i="8" s="1"/>
  <c r="P26" i="8"/>
  <c r="Q26" i="8"/>
  <c r="M25" i="8"/>
  <c r="N25" i="8" s="1"/>
  <c r="P25" i="8" s="1"/>
  <c r="J23" i="8"/>
  <c r="M23" i="8" s="1"/>
  <c r="N23" i="8" s="1"/>
  <c r="K23" i="8"/>
  <c r="L23" i="8"/>
  <c r="V148" i="31" l="1"/>
  <c r="W148" i="31"/>
  <c r="T148" i="31"/>
  <c r="U148" i="31"/>
  <c r="X148" i="31" s="1"/>
  <c r="T154" i="31"/>
  <c r="U154" i="31"/>
  <c r="X154" i="31" s="1"/>
  <c r="V154" i="31"/>
  <c r="W154" i="31"/>
  <c r="Y154" i="31" s="1"/>
  <c r="V136" i="31"/>
  <c r="T136" i="31"/>
  <c r="W136" i="31"/>
  <c r="U136" i="31"/>
  <c r="X136" i="31" s="1"/>
  <c r="W112" i="31"/>
  <c r="T112" i="31"/>
  <c r="U112" i="31"/>
  <c r="X112" i="31" s="1"/>
  <c r="V112" i="31"/>
  <c r="T174" i="31"/>
  <c r="U174" i="31"/>
  <c r="X174" i="31" s="1"/>
  <c r="W174" i="31"/>
  <c r="Y174" i="31" s="1"/>
  <c r="V174" i="31"/>
  <c r="W155" i="31"/>
  <c r="T155" i="31"/>
  <c r="U155" i="31"/>
  <c r="X155" i="31" s="1"/>
  <c r="V155" i="31"/>
  <c r="T162" i="31"/>
  <c r="U162" i="31"/>
  <c r="X162" i="31" s="1"/>
  <c r="W162" i="31"/>
  <c r="Y162" i="31" s="1"/>
  <c r="V162" i="31"/>
  <c r="T159" i="31"/>
  <c r="U159" i="31"/>
  <c r="X159" i="31" s="1"/>
  <c r="W159" i="31"/>
  <c r="Y159" i="31" s="1"/>
  <c r="V159" i="31"/>
  <c r="V177" i="31"/>
  <c r="T177" i="31"/>
  <c r="U177" i="31"/>
  <c r="X177" i="31" s="1"/>
  <c r="W177" i="31"/>
  <c r="V153" i="31"/>
  <c r="T153" i="31"/>
  <c r="U153" i="31"/>
  <c r="X153" i="31" s="1"/>
  <c r="W153" i="31"/>
  <c r="T165" i="31"/>
  <c r="V165" i="31"/>
  <c r="U165" i="31"/>
  <c r="X165" i="31" s="1"/>
  <c r="W165" i="31"/>
  <c r="T156" i="31"/>
  <c r="U156" i="31"/>
  <c r="X156" i="31" s="1"/>
  <c r="W156" i="31"/>
  <c r="Y156" i="31" s="1"/>
  <c r="V156" i="31"/>
  <c r="T41" i="31"/>
  <c r="U41" i="31"/>
  <c r="X41" i="31" s="1"/>
  <c r="W41" i="31"/>
  <c r="T103" i="31"/>
  <c r="U103" i="31"/>
  <c r="X103" i="31" s="1"/>
  <c r="W103" i="31"/>
  <c r="Y103" i="31" s="1"/>
  <c r="T50" i="31"/>
  <c r="U50" i="31"/>
  <c r="X50" i="31" s="1"/>
  <c r="W50" i="31"/>
  <c r="T134" i="31"/>
  <c r="U134" i="31"/>
  <c r="X134" i="31" s="1"/>
  <c r="W134" i="31"/>
  <c r="T69" i="31"/>
  <c r="U69" i="31"/>
  <c r="X69" i="31" s="1"/>
  <c r="W69" i="31"/>
  <c r="T141" i="31"/>
  <c r="U141" i="31"/>
  <c r="X141" i="31" s="1"/>
  <c r="W141" i="31"/>
  <c r="Y141" i="31" s="1"/>
  <c r="W121" i="31"/>
  <c r="T121" i="31"/>
  <c r="U121" i="31"/>
  <c r="X121" i="31" s="1"/>
  <c r="U107" i="31"/>
  <c r="X107" i="31" s="1"/>
  <c r="T107" i="31"/>
  <c r="W107" i="31"/>
  <c r="U133" i="31"/>
  <c r="X133" i="31" s="1"/>
  <c r="T78" i="31"/>
  <c r="U78" i="31"/>
  <c r="X78" i="31" s="1"/>
  <c r="W78" i="31"/>
  <c r="U150" i="31"/>
  <c r="X150" i="31" s="1"/>
  <c r="T37" i="31"/>
  <c r="U37" i="31"/>
  <c r="X37" i="31" s="1"/>
  <c r="W37" i="31"/>
  <c r="Y37" i="31" s="1"/>
  <c r="T97" i="31"/>
  <c r="U97" i="31"/>
  <c r="X97" i="31" s="1"/>
  <c r="W97" i="31"/>
  <c r="U80" i="31"/>
  <c r="X80" i="31" s="1"/>
  <c r="W80" i="31"/>
  <c r="T80" i="31"/>
  <c r="U15" i="31"/>
  <c r="X15" i="31" s="1"/>
  <c r="W15" i="31"/>
  <c r="T15" i="31"/>
  <c r="T99" i="31"/>
  <c r="U99" i="31"/>
  <c r="X99" i="31" s="1"/>
  <c r="W99" i="31"/>
  <c r="Y99" i="31" s="1"/>
  <c r="T123" i="31"/>
  <c r="U123" i="31"/>
  <c r="X123" i="31" s="1"/>
  <c r="W123" i="31"/>
  <c r="T34" i="31"/>
  <c r="U34" i="31"/>
  <c r="X34" i="31" s="1"/>
  <c r="W34" i="31"/>
  <c r="Y34" i="31" s="1"/>
  <c r="T151" i="31"/>
  <c r="U151" i="31"/>
  <c r="X151" i="31" s="1"/>
  <c r="W151" i="31"/>
  <c r="Y151" i="31" s="1"/>
  <c r="W172" i="31"/>
  <c r="T172" i="31"/>
  <c r="U172" i="31"/>
  <c r="X172" i="31" s="1"/>
  <c r="T149" i="31"/>
  <c r="U149" i="31"/>
  <c r="X149" i="31" s="1"/>
  <c r="W149" i="31"/>
  <c r="U127" i="31"/>
  <c r="X127" i="31" s="1"/>
  <c r="U45" i="31"/>
  <c r="X45" i="31" s="1"/>
  <c r="W45" i="31"/>
  <c r="Y45" i="31" s="1"/>
  <c r="T45" i="31"/>
  <c r="T94" i="31"/>
  <c r="U94" i="31"/>
  <c r="X94" i="31" s="1"/>
  <c r="W94" i="31"/>
  <c r="T40" i="31"/>
  <c r="U40" i="31"/>
  <c r="X40" i="31" s="1"/>
  <c r="W40" i="31"/>
  <c r="T47" i="31"/>
  <c r="U47" i="31"/>
  <c r="X47" i="31" s="1"/>
  <c r="W47" i="31"/>
  <c r="T131" i="31"/>
  <c r="U131" i="31"/>
  <c r="X131" i="31" s="1"/>
  <c r="W131" i="31"/>
  <c r="T164" i="31"/>
  <c r="U164" i="31"/>
  <c r="X164" i="31" s="1"/>
  <c r="W164" i="31"/>
  <c r="T20" i="31"/>
  <c r="U20" i="31"/>
  <c r="X20" i="31" s="1"/>
  <c r="W20" i="31"/>
  <c r="T65" i="31"/>
  <c r="U65" i="31"/>
  <c r="X65" i="31" s="1"/>
  <c r="W65" i="31"/>
  <c r="Y157" i="31"/>
  <c r="T127" i="31"/>
  <c r="Y127" i="31" s="1"/>
  <c r="T55" i="31"/>
  <c r="U55" i="31"/>
  <c r="X55" i="31" s="1"/>
  <c r="W55" i="31"/>
  <c r="Y55" i="31" s="1"/>
  <c r="T79" i="31"/>
  <c r="U79" i="31"/>
  <c r="X79" i="31" s="1"/>
  <c r="W79" i="31"/>
  <c r="Y79" i="31" s="1"/>
  <c r="T19" i="31"/>
  <c r="U19" i="31"/>
  <c r="X19" i="31" s="1"/>
  <c r="W19" i="31"/>
  <c r="U74" i="31"/>
  <c r="X74" i="31" s="1"/>
  <c r="W74" i="31"/>
  <c r="T74" i="31"/>
  <c r="T93" i="31"/>
  <c r="U93" i="31"/>
  <c r="X93" i="31" s="1"/>
  <c r="W93" i="31"/>
  <c r="Y93" i="31" s="1"/>
  <c r="W130" i="31"/>
  <c r="T130" i="31"/>
  <c r="U130" i="31"/>
  <c r="X130" i="31" s="1"/>
  <c r="U18" i="31"/>
  <c r="X18" i="31" s="1"/>
  <c r="W18" i="31"/>
  <c r="Y18" i="31" s="1"/>
  <c r="T18" i="31"/>
  <c r="T102" i="31"/>
  <c r="U102" i="31"/>
  <c r="X102" i="31" s="1"/>
  <c r="W102" i="31"/>
  <c r="Y102" i="31" s="1"/>
  <c r="T61" i="31"/>
  <c r="U61" i="31"/>
  <c r="X61" i="31" s="1"/>
  <c r="W61" i="31"/>
  <c r="Y61" i="31" s="1"/>
  <c r="U104" i="31"/>
  <c r="X104" i="31" s="1"/>
  <c r="T104" i="31"/>
  <c r="W104" i="31"/>
  <c r="Y104" i="31" s="1"/>
  <c r="U39" i="31"/>
  <c r="X39" i="31" s="1"/>
  <c r="W39" i="31"/>
  <c r="Y39" i="31" s="1"/>
  <c r="T39" i="31"/>
  <c r="T132" i="31"/>
  <c r="U132" i="31"/>
  <c r="X132" i="31" s="1"/>
  <c r="W132" i="31"/>
  <c r="Y132" i="31" s="1"/>
  <c r="T58" i="31"/>
  <c r="U58" i="31"/>
  <c r="X58" i="31" s="1"/>
  <c r="W58" i="31"/>
  <c r="Y58" i="31" s="1"/>
  <c r="W175" i="31"/>
  <c r="T175" i="31"/>
  <c r="U175" i="31"/>
  <c r="X175" i="31" s="1"/>
  <c r="T179" i="31"/>
  <c r="U179" i="31"/>
  <c r="X179" i="31" s="1"/>
  <c r="W179" i="31"/>
  <c r="W142" i="31"/>
  <c r="T142" i="31"/>
  <c r="U142" i="31"/>
  <c r="X142" i="31" s="1"/>
  <c r="T125" i="31"/>
  <c r="U125" i="31"/>
  <c r="X125" i="31" s="1"/>
  <c r="W125" i="31"/>
  <c r="Y125" i="31" s="1"/>
  <c r="T133" i="31"/>
  <c r="U71" i="31"/>
  <c r="X71" i="31" s="1"/>
  <c r="W71" i="31"/>
  <c r="Y71" i="31" s="1"/>
  <c r="T71" i="31"/>
  <c r="T126" i="31"/>
  <c r="U126" i="31"/>
  <c r="X126" i="31" s="1"/>
  <c r="W126" i="31"/>
  <c r="T167" i="31"/>
  <c r="U167" i="31"/>
  <c r="X167" i="31" s="1"/>
  <c r="W167" i="31"/>
  <c r="T44" i="31"/>
  <c r="U44" i="31"/>
  <c r="X44" i="31" s="1"/>
  <c r="W44" i="31"/>
  <c r="T128" i="31"/>
  <c r="U128" i="31"/>
  <c r="X128" i="31" s="1"/>
  <c r="W128" i="31"/>
  <c r="U89" i="31"/>
  <c r="X89" i="31" s="1"/>
  <c r="W89" i="31"/>
  <c r="T89" i="31"/>
  <c r="W133" i="31"/>
  <c r="U139" i="31"/>
  <c r="X139" i="31" s="1"/>
  <c r="U110" i="31"/>
  <c r="X110" i="31" s="1"/>
  <c r="T110" i="31"/>
  <c r="W110" i="31"/>
  <c r="Y110" i="31" s="1"/>
  <c r="T43" i="31"/>
  <c r="U43" i="31"/>
  <c r="X43" i="31" s="1"/>
  <c r="W43" i="31"/>
  <c r="Y43" i="31" s="1"/>
  <c r="U98" i="31"/>
  <c r="X98" i="31" s="1"/>
  <c r="W98" i="31"/>
  <c r="Y98" i="31" s="1"/>
  <c r="T98" i="31"/>
  <c r="U33" i="31"/>
  <c r="X33" i="31" s="1"/>
  <c r="W33" i="31"/>
  <c r="T33" i="31"/>
  <c r="T117" i="31"/>
  <c r="U117" i="31"/>
  <c r="X117" i="31" s="1"/>
  <c r="W117" i="31"/>
  <c r="Y117" i="31" s="1"/>
  <c r="T64" i="31"/>
  <c r="U64" i="31"/>
  <c r="X64" i="31" s="1"/>
  <c r="W64" i="31"/>
  <c r="Y64" i="31" s="1"/>
  <c r="T88" i="31"/>
  <c r="U88" i="31"/>
  <c r="X88" i="31" s="1"/>
  <c r="W88" i="31"/>
  <c r="U42" i="31"/>
  <c r="X42" i="31" s="1"/>
  <c r="W42" i="31"/>
  <c r="T42" i="31"/>
  <c r="T72" i="31"/>
  <c r="U72" i="31"/>
  <c r="X72" i="31" s="1"/>
  <c r="W72" i="31"/>
  <c r="Y72" i="31" s="1"/>
  <c r="T152" i="31"/>
  <c r="U152" i="31"/>
  <c r="X152" i="31" s="1"/>
  <c r="W152" i="31"/>
  <c r="Y152" i="31" s="1"/>
  <c r="U63" i="31"/>
  <c r="X63" i="31" s="1"/>
  <c r="T63" i="31"/>
  <c r="W63" i="31"/>
  <c r="T135" i="31"/>
  <c r="U135" i="31"/>
  <c r="X135" i="31" s="1"/>
  <c r="W135" i="31"/>
  <c r="Y135" i="31" s="1"/>
  <c r="T84" i="31"/>
  <c r="U84" i="31"/>
  <c r="X84" i="31" s="1"/>
  <c r="W84" i="31"/>
  <c r="Y84" i="31" s="1"/>
  <c r="T82" i="31"/>
  <c r="U82" i="31"/>
  <c r="X82" i="31" s="1"/>
  <c r="W82" i="31"/>
  <c r="Y82" i="31" s="1"/>
  <c r="W160" i="31"/>
  <c r="T160" i="31"/>
  <c r="U160" i="31"/>
  <c r="X160" i="31" s="1"/>
  <c r="W178" i="31"/>
  <c r="T178" i="31"/>
  <c r="U178" i="31"/>
  <c r="X178" i="31" s="1"/>
  <c r="T29" i="31"/>
  <c r="U29" i="31"/>
  <c r="X29" i="31" s="1"/>
  <c r="W29" i="31"/>
  <c r="Y29" i="31" s="1"/>
  <c r="T113" i="31"/>
  <c r="U113" i="31"/>
  <c r="X113" i="31" s="1"/>
  <c r="W113" i="31"/>
  <c r="Y113" i="31" s="1"/>
  <c r="T139" i="31"/>
  <c r="Y139" i="31" s="1"/>
  <c r="T23" i="31"/>
  <c r="U23" i="31"/>
  <c r="X23" i="31" s="1"/>
  <c r="W23" i="31"/>
  <c r="T38" i="31"/>
  <c r="U38" i="31"/>
  <c r="X38" i="31" s="1"/>
  <c r="W38" i="31"/>
  <c r="T122" i="31"/>
  <c r="U122" i="31"/>
  <c r="X122" i="31" s="1"/>
  <c r="W122" i="31"/>
  <c r="U48" i="31"/>
  <c r="X48" i="31" s="1"/>
  <c r="W48" i="31"/>
  <c r="Y48" i="31" s="1"/>
  <c r="T48" i="31"/>
  <c r="U95" i="31"/>
  <c r="X95" i="31" s="1"/>
  <c r="W95" i="31"/>
  <c r="T95" i="31"/>
  <c r="T96" i="31"/>
  <c r="U96" i="31"/>
  <c r="X96" i="31" s="1"/>
  <c r="W96" i="31"/>
  <c r="T66" i="31"/>
  <c r="U66" i="31"/>
  <c r="X66" i="31" s="1"/>
  <c r="W66" i="31"/>
  <c r="T170" i="31"/>
  <c r="U170" i="31"/>
  <c r="X170" i="31" s="1"/>
  <c r="W170" i="31"/>
  <c r="T25" i="31"/>
  <c r="U25" i="31"/>
  <c r="X25" i="31" s="1"/>
  <c r="W25" i="31"/>
  <c r="T85" i="31"/>
  <c r="U85" i="31"/>
  <c r="X85" i="31" s="1"/>
  <c r="W85" i="31"/>
  <c r="U68" i="31"/>
  <c r="X68" i="31" s="1"/>
  <c r="W68" i="31"/>
  <c r="Y68" i="31" s="1"/>
  <c r="T68" i="31"/>
  <c r="T87" i="31"/>
  <c r="U87" i="31"/>
  <c r="X87" i="31" s="1"/>
  <c r="W87" i="31"/>
  <c r="T22" i="31"/>
  <c r="U22" i="31"/>
  <c r="X22" i="31" s="1"/>
  <c r="W22" i="31"/>
  <c r="Y168" i="31"/>
  <c r="T16" i="31"/>
  <c r="U16" i="31"/>
  <c r="X16" i="31" s="1"/>
  <c r="W16" i="31"/>
  <c r="T76" i="31"/>
  <c r="U76" i="31"/>
  <c r="X76" i="31" s="1"/>
  <c r="W76" i="31"/>
  <c r="U54" i="31"/>
  <c r="X54" i="31" s="1"/>
  <c r="W54" i="31"/>
  <c r="T54" i="31"/>
  <c r="T108" i="31"/>
  <c r="U108" i="31"/>
  <c r="X108" i="31" s="1"/>
  <c r="W108" i="31"/>
  <c r="Y108" i="31" s="1"/>
  <c r="W115" i="31"/>
  <c r="Y115" i="31" s="1"/>
  <c r="T115" i="31"/>
  <c r="U115" i="31"/>
  <c r="X115" i="31" s="1"/>
  <c r="T67" i="31"/>
  <c r="U67" i="31"/>
  <c r="X67" i="31" s="1"/>
  <c r="W67" i="31"/>
  <c r="U57" i="31"/>
  <c r="X57" i="31" s="1"/>
  <c r="W57" i="31"/>
  <c r="T57" i="31"/>
  <c r="U60" i="31"/>
  <c r="X60" i="31" s="1"/>
  <c r="W60" i="31"/>
  <c r="T60" i="31"/>
  <c r="T28" i="31"/>
  <c r="U28" i="31"/>
  <c r="X28" i="31" s="1"/>
  <c r="W28" i="31"/>
  <c r="T35" i="31"/>
  <c r="U35" i="31"/>
  <c r="X35" i="31" s="1"/>
  <c r="W35" i="31"/>
  <c r="T119" i="31"/>
  <c r="U119" i="31"/>
  <c r="X119" i="31" s="1"/>
  <c r="W119" i="31"/>
  <c r="Y119" i="31" s="1"/>
  <c r="T109" i="31"/>
  <c r="U109" i="31"/>
  <c r="X109" i="31" s="1"/>
  <c r="W109" i="31"/>
  <c r="W147" i="31"/>
  <c r="T106" i="31"/>
  <c r="U106" i="31"/>
  <c r="X106" i="31" s="1"/>
  <c r="W106" i="31"/>
  <c r="Y106" i="31" s="1"/>
  <c r="W163" i="31"/>
  <c r="T163" i="31"/>
  <c r="U163" i="31"/>
  <c r="X163" i="31" s="1"/>
  <c r="T53" i="31"/>
  <c r="U53" i="31"/>
  <c r="X53" i="31" s="1"/>
  <c r="W53" i="31"/>
  <c r="T137" i="31"/>
  <c r="U137" i="31"/>
  <c r="X137" i="31" s="1"/>
  <c r="W137" i="31"/>
  <c r="Y137" i="31" s="1"/>
  <c r="U24" i="31"/>
  <c r="X24" i="31" s="1"/>
  <c r="W24" i="31"/>
  <c r="T24" i="31"/>
  <c r="T62" i="31"/>
  <c r="U62" i="31"/>
  <c r="X62" i="31" s="1"/>
  <c r="W62" i="31"/>
  <c r="Y62" i="31" s="1"/>
  <c r="T146" i="31"/>
  <c r="U146" i="31"/>
  <c r="X146" i="31" s="1"/>
  <c r="W146" i="31"/>
  <c r="T81" i="31"/>
  <c r="U81" i="31"/>
  <c r="X81" i="31" s="1"/>
  <c r="W81" i="31"/>
  <c r="Y81" i="31" s="1"/>
  <c r="T90" i="31"/>
  <c r="U90" i="31"/>
  <c r="X90" i="31" s="1"/>
  <c r="W90" i="31"/>
  <c r="Y90" i="31" s="1"/>
  <c r="W145" i="31"/>
  <c r="U145" i="31"/>
  <c r="X145" i="31" s="1"/>
  <c r="T145" i="31"/>
  <c r="T173" i="31"/>
  <c r="U173" i="31"/>
  <c r="X173" i="31" s="1"/>
  <c r="W173" i="31"/>
  <c r="T49" i="31"/>
  <c r="U49" i="31"/>
  <c r="X49" i="31" s="1"/>
  <c r="W49" i="31"/>
  <c r="Y49" i="31" s="1"/>
  <c r="U92" i="31"/>
  <c r="X92" i="31" s="1"/>
  <c r="W92" i="31"/>
  <c r="T92" i="31"/>
  <c r="U27" i="31"/>
  <c r="X27" i="31" s="1"/>
  <c r="W27" i="31"/>
  <c r="T27" i="31"/>
  <c r="U147" i="31"/>
  <c r="X147" i="31" s="1"/>
  <c r="T46" i="31"/>
  <c r="U46" i="31"/>
  <c r="X46" i="31" s="1"/>
  <c r="W46" i="31"/>
  <c r="T100" i="31"/>
  <c r="U100" i="31"/>
  <c r="X100" i="31" s="1"/>
  <c r="W100" i="31"/>
  <c r="W124" i="31"/>
  <c r="T124" i="31"/>
  <c r="U124" i="31"/>
  <c r="X124" i="31" s="1"/>
  <c r="T91" i="31"/>
  <c r="U91" i="31"/>
  <c r="X91" i="31" s="1"/>
  <c r="W91" i="31"/>
  <c r="T129" i="31"/>
  <c r="U129" i="31"/>
  <c r="X129" i="31" s="1"/>
  <c r="W129" i="31"/>
  <c r="T144" i="31"/>
  <c r="U144" i="31"/>
  <c r="X144" i="31" s="1"/>
  <c r="W144" i="31"/>
  <c r="T52" i="31"/>
  <c r="U52" i="31"/>
  <c r="X52" i="31" s="1"/>
  <c r="W52" i="31"/>
  <c r="T59" i="31"/>
  <c r="U59" i="31"/>
  <c r="X59" i="31" s="1"/>
  <c r="W59" i="31"/>
  <c r="T143" i="31"/>
  <c r="U143" i="31"/>
  <c r="X143" i="31" s="1"/>
  <c r="W143" i="31"/>
  <c r="T138" i="31"/>
  <c r="U138" i="31"/>
  <c r="X138" i="31" s="1"/>
  <c r="W138" i="31"/>
  <c r="T32" i="31"/>
  <c r="U32" i="31"/>
  <c r="X32" i="31" s="1"/>
  <c r="W32" i="31"/>
  <c r="T116" i="31"/>
  <c r="U116" i="31"/>
  <c r="X116" i="31" s="1"/>
  <c r="W116" i="31"/>
  <c r="W118" i="31"/>
  <c r="Y118" i="31" s="1"/>
  <c r="T118" i="31"/>
  <c r="U118" i="31"/>
  <c r="X118" i="31" s="1"/>
  <c r="T111" i="31"/>
  <c r="U111" i="31"/>
  <c r="X111" i="31" s="1"/>
  <c r="W111" i="31"/>
  <c r="W166" i="31"/>
  <c r="T166" i="31"/>
  <c r="U166" i="31"/>
  <c r="X166" i="31" s="1"/>
  <c r="U77" i="31"/>
  <c r="X77" i="31" s="1"/>
  <c r="W77" i="31"/>
  <c r="Y77" i="31" s="1"/>
  <c r="T77" i="31"/>
  <c r="Y171" i="31"/>
  <c r="T161" i="31"/>
  <c r="U161" i="31"/>
  <c r="X161" i="31" s="1"/>
  <c r="W161" i="31"/>
  <c r="Y161" i="31" s="1"/>
  <c r="T31" i="31"/>
  <c r="U31" i="31"/>
  <c r="X31" i="31" s="1"/>
  <c r="W31" i="31"/>
  <c r="U86" i="31"/>
  <c r="X86" i="31" s="1"/>
  <c r="W86" i="31"/>
  <c r="T86" i="31"/>
  <c r="U21" i="31"/>
  <c r="X21" i="31" s="1"/>
  <c r="W21" i="31"/>
  <c r="T21" i="31"/>
  <c r="T120" i="31"/>
  <c r="U120" i="31"/>
  <c r="X120" i="31" s="1"/>
  <c r="W120" i="31"/>
  <c r="Y120" i="31" s="1"/>
  <c r="U30" i="31"/>
  <c r="X30" i="31" s="1"/>
  <c r="W30" i="31"/>
  <c r="T30" i="31"/>
  <c r="T158" i="31"/>
  <c r="U158" i="31"/>
  <c r="X158" i="31" s="1"/>
  <c r="W158" i="31"/>
  <c r="T176" i="31"/>
  <c r="U176" i="31"/>
  <c r="X176" i="31" s="1"/>
  <c r="W176" i="31"/>
  <c r="Y176" i="31" s="1"/>
  <c r="U51" i="31"/>
  <c r="X51" i="31" s="1"/>
  <c r="W51" i="31"/>
  <c r="T51" i="31"/>
  <c r="T17" i="31"/>
  <c r="U17" i="31"/>
  <c r="X17" i="31" s="1"/>
  <c r="W17" i="31"/>
  <c r="U36" i="31"/>
  <c r="X36" i="31" s="1"/>
  <c r="W36" i="31"/>
  <c r="T36" i="31"/>
  <c r="Y150" i="31"/>
  <c r="T26" i="31"/>
  <c r="U26" i="31"/>
  <c r="X26" i="31" s="1"/>
  <c r="W26" i="31"/>
  <c r="T105" i="31"/>
  <c r="U105" i="31"/>
  <c r="X105" i="31" s="1"/>
  <c r="W105" i="31"/>
  <c r="Y105" i="31" s="1"/>
  <c r="U83" i="31"/>
  <c r="X83" i="31" s="1"/>
  <c r="W83" i="31"/>
  <c r="T83" i="31"/>
  <c r="T114" i="31"/>
  <c r="U114" i="31"/>
  <c r="X114" i="31" s="1"/>
  <c r="W114" i="31"/>
  <c r="Y114" i="31" s="1"/>
  <c r="T73" i="31"/>
  <c r="U73" i="31"/>
  <c r="X73" i="31" s="1"/>
  <c r="W73" i="31"/>
  <c r="T56" i="31"/>
  <c r="U56" i="31"/>
  <c r="X56" i="31" s="1"/>
  <c r="W56" i="31"/>
  <c r="Y56" i="31" s="1"/>
  <c r="T140" i="31"/>
  <c r="U140" i="31"/>
  <c r="X140" i="31" s="1"/>
  <c r="W140" i="31"/>
  <c r="Y140" i="31" s="1"/>
  <c r="T75" i="31"/>
  <c r="U75" i="31"/>
  <c r="X75" i="31" s="1"/>
  <c r="W75" i="31"/>
  <c r="Y75" i="31" s="1"/>
  <c r="T70" i="31"/>
  <c r="U70" i="31"/>
  <c r="X70" i="31" s="1"/>
  <c r="W70" i="31"/>
  <c r="W169" i="31"/>
  <c r="T169" i="31"/>
  <c r="U169" i="31"/>
  <c r="X169" i="31" s="1"/>
  <c r="U101" i="31"/>
  <c r="X101" i="31" s="1"/>
  <c r="W101" i="31"/>
  <c r="T101" i="31"/>
  <c r="Q23" i="8"/>
  <c r="P23" i="8"/>
  <c r="Q47" i="8"/>
  <c r="P47" i="8"/>
  <c r="Q71" i="8"/>
  <c r="P71" i="8"/>
  <c r="Q95" i="8"/>
  <c r="P95" i="8"/>
  <c r="R157" i="8"/>
  <c r="S157" i="8"/>
  <c r="T157" i="8"/>
  <c r="Q121" i="8"/>
  <c r="P121" i="8"/>
  <c r="P165" i="8"/>
  <c r="Q165" i="8"/>
  <c r="R42" i="8"/>
  <c r="S42" i="8"/>
  <c r="T42" i="8"/>
  <c r="P179" i="8"/>
  <c r="Q179" i="8"/>
  <c r="R41" i="8"/>
  <c r="S41" i="8"/>
  <c r="T41" i="8"/>
  <c r="R77" i="8"/>
  <c r="S77" i="8"/>
  <c r="T77" i="8"/>
  <c r="Q160" i="8"/>
  <c r="P160" i="8"/>
  <c r="R146" i="8"/>
  <c r="S146" i="8"/>
  <c r="T146" i="8"/>
  <c r="Q131" i="8"/>
  <c r="P131" i="8"/>
  <c r="R32" i="8"/>
  <c r="S32" i="8"/>
  <c r="T32" i="8"/>
  <c r="R80" i="8"/>
  <c r="S80" i="8"/>
  <c r="T80" i="8"/>
  <c r="P138" i="8"/>
  <c r="Q138" i="8"/>
  <c r="R51" i="8"/>
  <c r="S51" i="8"/>
  <c r="T51" i="8"/>
  <c r="R87" i="8"/>
  <c r="S87" i="8"/>
  <c r="T87" i="8"/>
  <c r="Q166" i="8"/>
  <c r="P166" i="8"/>
  <c r="R36" i="8"/>
  <c r="S36" i="8"/>
  <c r="T36" i="8"/>
  <c r="R43" i="8"/>
  <c r="S43" i="8"/>
  <c r="T43" i="8"/>
  <c r="R115" i="8"/>
  <c r="S115" i="8"/>
  <c r="T115" i="8"/>
  <c r="R151" i="8"/>
  <c r="S151" i="8"/>
  <c r="T151" i="8"/>
  <c r="Q112" i="8"/>
  <c r="P112" i="8"/>
  <c r="R25" i="8"/>
  <c r="S25" i="8"/>
  <c r="T25" i="8"/>
  <c r="R73" i="8"/>
  <c r="S73" i="8"/>
  <c r="T73" i="8"/>
  <c r="R97" i="8"/>
  <c r="S97" i="8"/>
  <c r="T97" i="8"/>
  <c r="R104" i="8"/>
  <c r="S104" i="8"/>
  <c r="T104" i="8"/>
  <c r="P148" i="8"/>
  <c r="Q148" i="8"/>
  <c r="R130" i="8"/>
  <c r="S130" i="8"/>
  <c r="T130" i="8"/>
  <c r="P100" i="8"/>
  <c r="Q100" i="8"/>
  <c r="R120" i="8"/>
  <c r="S120" i="8"/>
  <c r="T120" i="8"/>
  <c r="R49" i="8"/>
  <c r="S49" i="8"/>
  <c r="T49" i="8"/>
  <c r="R56" i="8"/>
  <c r="S56" i="8"/>
  <c r="T56" i="8"/>
  <c r="R140" i="8"/>
  <c r="S140" i="8"/>
  <c r="T140" i="8"/>
  <c r="R27" i="8"/>
  <c r="S27" i="8"/>
  <c r="T27" i="8"/>
  <c r="P46" i="8"/>
  <c r="Q46" i="8"/>
  <c r="R84" i="8"/>
  <c r="S84" i="8"/>
  <c r="T84" i="8"/>
  <c r="P161" i="8"/>
  <c r="Q161" i="8"/>
  <c r="P48" i="8"/>
  <c r="Q48" i="8"/>
  <c r="P35" i="8"/>
  <c r="Q35" i="8"/>
  <c r="Q107" i="8"/>
  <c r="P107" i="8"/>
  <c r="Q114" i="8"/>
  <c r="P114" i="8"/>
  <c r="P150" i="8"/>
  <c r="Q150" i="8"/>
  <c r="R58" i="8"/>
  <c r="S58" i="8"/>
  <c r="T58" i="8"/>
  <c r="R17" i="8"/>
  <c r="S17" i="8"/>
  <c r="T17" i="8"/>
  <c r="R53" i="8"/>
  <c r="S53" i="8"/>
  <c r="T53" i="8"/>
  <c r="R89" i="8"/>
  <c r="S89" i="8"/>
  <c r="T89" i="8"/>
  <c r="P52" i="8"/>
  <c r="Q52" i="8"/>
  <c r="P83" i="8"/>
  <c r="Q83" i="8"/>
  <c r="P18" i="8"/>
  <c r="Q18" i="8"/>
  <c r="P66" i="8"/>
  <c r="Q66" i="8"/>
  <c r="R63" i="8"/>
  <c r="S63" i="8"/>
  <c r="T63" i="8"/>
  <c r="R99" i="8"/>
  <c r="S99" i="8"/>
  <c r="T99" i="8"/>
  <c r="P94" i="8"/>
  <c r="Q94" i="8"/>
  <c r="Q136" i="8"/>
  <c r="P136" i="8"/>
  <c r="P59" i="8"/>
  <c r="Q59" i="8"/>
  <c r="P76" i="8"/>
  <c r="Q76" i="8"/>
  <c r="R106" i="8"/>
  <c r="S106" i="8"/>
  <c r="T106" i="8"/>
  <c r="R142" i="8"/>
  <c r="S142" i="8"/>
  <c r="T142" i="8"/>
  <c r="P40" i="8"/>
  <c r="Q40" i="8"/>
  <c r="R61" i="8"/>
  <c r="S61" i="8"/>
  <c r="T61" i="8"/>
  <c r="Q143" i="8"/>
  <c r="P143" i="8"/>
  <c r="R20" i="8"/>
  <c r="S20" i="8"/>
  <c r="T20" i="8"/>
  <c r="R44" i="8"/>
  <c r="S44" i="8"/>
  <c r="T44" i="8"/>
  <c r="R68" i="8"/>
  <c r="S68" i="8"/>
  <c r="T68" i="8"/>
  <c r="R92" i="8"/>
  <c r="S92" i="8"/>
  <c r="T92" i="8"/>
  <c r="R152" i="8"/>
  <c r="S152" i="8"/>
  <c r="T152" i="8"/>
  <c r="P172" i="8"/>
  <c r="Q172" i="8"/>
  <c r="Q174" i="8"/>
  <c r="P174" i="8"/>
  <c r="P64" i="8"/>
  <c r="Q64" i="8"/>
  <c r="Q101" i="8"/>
  <c r="P101" i="8"/>
  <c r="P24" i="8"/>
  <c r="Q24" i="8"/>
  <c r="P96" i="8"/>
  <c r="Q96" i="8"/>
  <c r="R85" i="8"/>
  <c r="S85" i="8"/>
  <c r="T85" i="8"/>
  <c r="R145" i="8"/>
  <c r="S145" i="8"/>
  <c r="T145" i="8"/>
  <c r="Q126" i="8"/>
  <c r="P126" i="8"/>
  <c r="R90" i="8"/>
  <c r="S90" i="8"/>
  <c r="T90" i="8"/>
  <c r="P173" i="8"/>
  <c r="Q173" i="8"/>
  <c r="Q175" i="8"/>
  <c r="P175" i="8"/>
  <c r="R29" i="8"/>
  <c r="S29" i="8"/>
  <c r="T29" i="8"/>
  <c r="R65" i="8"/>
  <c r="S65" i="8"/>
  <c r="T65" i="8"/>
  <c r="P22" i="8"/>
  <c r="Q22" i="8"/>
  <c r="R60" i="8"/>
  <c r="S60" i="8"/>
  <c r="T60" i="8"/>
  <c r="R134" i="8"/>
  <c r="S134" i="8"/>
  <c r="T134" i="8"/>
  <c r="R37" i="8"/>
  <c r="S37" i="8"/>
  <c r="T37" i="8"/>
  <c r="P155" i="8"/>
  <c r="Q155" i="8"/>
  <c r="R15" i="8"/>
  <c r="S15" i="8"/>
  <c r="T15" i="8"/>
  <c r="R39" i="8"/>
  <c r="S39" i="8"/>
  <c r="T39" i="8"/>
  <c r="R75" i="8"/>
  <c r="S75" i="8"/>
  <c r="T75" i="8"/>
  <c r="R111" i="8"/>
  <c r="S111" i="8"/>
  <c r="T111" i="8"/>
  <c r="R34" i="8"/>
  <c r="S34" i="8"/>
  <c r="T34" i="8"/>
  <c r="Q176" i="8"/>
  <c r="P176" i="8"/>
  <c r="R67" i="8"/>
  <c r="S67" i="8"/>
  <c r="T67" i="8"/>
  <c r="R103" i="8"/>
  <c r="S103" i="8"/>
  <c r="T103" i="8"/>
  <c r="R139" i="8"/>
  <c r="S139" i="8"/>
  <c r="T139" i="8"/>
  <c r="P30" i="8"/>
  <c r="Q30" i="8"/>
  <c r="P78" i="8"/>
  <c r="Q78" i="8"/>
  <c r="P102" i="8"/>
  <c r="Q102" i="8"/>
  <c r="Q163" i="8"/>
  <c r="P163" i="8"/>
  <c r="P177" i="8"/>
  <c r="Q177" i="8"/>
  <c r="P70" i="8"/>
  <c r="Q70" i="8"/>
  <c r="P88" i="8"/>
  <c r="Q88" i="8"/>
  <c r="P54" i="8"/>
  <c r="Q54" i="8"/>
  <c r="Q119" i="8"/>
  <c r="P119" i="8"/>
  <c r="Q164" i="8"/>
  <c r="P164" i="8"/>
  <c r="R82" i="8"/>
  <c r="S82" i="8"/>
  <c r="T82" i="8"/>
  <c r="P178" i="8"/>
  <c r="Q178" i="8"/>
  <c r="P154" i="8"/>
  <c r="Q154" i="8"/>
  <c r="P72" i="8"/>
  <c r="Q72" i="8"/>
  <c r="R31" i="8"/>
  <c r="S31" i="8"/>
  <c r="T31" i="8"/>
  <c r="Q142" i="8"/>
  <c r="R132" i="8"/>
  <c r="S132" i="8"/>
  <c r="T132" i="8"/>
  <c r="Q152" i="8"/>
  <c r="Q156" i="8"/>
  <c r="P158" i="8"/>
  <c r="T162" i="8"/>
  <c r="S162" i="8"/>
  <c r="R162" i="8"/>
  <c r="R26" i="8"/>
  <c r="S26" i="8"/>
  <c r="T26" i="8"/>
  <c r="R50" i="8"/>
  <c r="S50" i="8"/>
  <c r="T50" i="8"/>
  <c r="R74" i="8"/>
  <c r="S74" i="8"/>
  <c r="T74" i="8"/>
  <c r="R105" i="8"/>
  <c r="S105" i="8"/>
  <c r="T105" i="8"/>
  <c r="R147" i="8"/>
  <c r="S147" i="8"/>
  <c r="T147" i="8"/>
  <c r="Q145" i="8"/>
  <c r="Q111" i="8"/>
  <c r="P123" i="8"/>
  <c r="Q34" i="8"/>
  <c r="Q58" i="8"/>
  <c r="Q82" i="8"/>
  <c r="T168" i="8"/>
  <c r="S168" i="8"/>
  <c r="R168" i="8"/>
  <c r="T170" i="8"/>
  <c r="S170" i="8"/>
  <c r="R170" i="8"/>
  <c r="R98" i="8"/>
  <c r="S98" i="8"/>
  <c r="T98" i="8"/>
  <c r="R33" i="8"/>
  <c r="S33" i="8"/>
  <c r="T33" i="8"/>
  <c r="R57" i="8"/>
  <c r="S57" i="8"/>
  <c r="T57" i="8"/>
  <c r="R81" i="8"/>
  <c r="S81" i="8"/>
  <c r="T81" i="8"/>
  <c r="R16" i="8"/>
  <c r="S16" i="8"/>
  <c r="T16" i="8"/>
  <c r="Q27" i="8"/>
  <c r="Q51" i="8"/>
  <c r="Q75" i="8"/>
  <c r="Q99" i="8"/>
  <c r="R141" i="8"/>
  <c r="S141" i="8"/>
  <c r="T141" i="8"/>
  <c r="Q36" i="8"/>
  <c r="Q60" i="8"/>
  <c r="Q84" i="8"/>
  <c r="P108" i="8"/>
  <c r="Q37" i="8"/>
  <c r="Q61" i="8"/>
  <c r="Q85" i="8"/>
  <c r="P109" i="8"/>
  <c r="P116" i="8"/>
  <c r="P113" i="8"/>
  <c r="P127" i="8"/>
  <c r="P137" i="8"/>
  <c r="P133" i="8"/>
  <c r="Q42" i="8"/>
  <c r="Q90" i="8"/>
  <c r="R144" i="8"/>
  <c r="S144" i="8"/>
  <c r="T144" i="8"/>
  <c r="Q20" i="8"/>
  <c r="Q44" i="8"/>
  <c r="Q68" i="8"/>
  <c r="Q92" i="8"/>
  <c r="Q120" i="8"/>
  <c r="Q17" i="8"/>
  <c r="Q41" i="8"/>
  <c r="Q65" i="8"/>
  <c r="Q89" i="8"/>
  <c r="Q135" i="8"/>
  <c r="P149" i="8"/>
  <c r="R124" i="8"/>
  <c r="S124" i="8"/>
  <c r="T124" i="8"/>
  <c r="R159" i="8"/>
  <c r="T159" i="8"/>
  <c r="S159" i="8"/>
  <c r="Q157" i="8"/>
  <c r="Q147" i="8"/>
  <c r="R110" i="8"/>
  <c r="S110" i="8"/>
  <c r="T110" i="8"/>
  <c r="R117" i="8"/>
  <c r="S117" i="8"/>
  <c r="T117" i="8"/>
  <c r="R91" i="8"/>
  <c r="S91" i="8"/>
  <c r="T91" i="8"/>
  <c r="R79" i="8"/>
  <c r="S79" i="8"/>
  <c r="T79" i="8"/>
  <c r="P118" i="8"/>
  <c r="R153" i="8"/>
  <c r="S153" i="8"/>
  <c r="T153" i="8"/>
  <c r="Q159" i="8"/>
  <c r="Q129" i="8"/>
  <c r="Q104" i="8"/>
  <c r="R62" i="8"/>
  <c r="S62" i="8"/>
  <c r="T62" i="8"/>
  <c r="R86" i="8"/>
  <c r="S86" i="8"/>
  <c r="T86" i="8"/>
  <c r="R19" i="8"/>
  <c r="S19" i="8"/>
  <c r="T19" i="8"/>
  <c r="T171" i="8"/>
  <c r="S171" i="8"/>
  <c r="R171" i="8"/>
  <c r="Q141" i="8"/>
  <c r="R38" i="8"/>
  <c r="S38" i="8"/>
  <c r="T38" i="8"/>
  <c r="R21" i="8"/>
  <c r="S21" i="8"/>
  <c r="T21" i="8"/>
  <c r="R45" i="8"/>
  <c r="S45" i="8"/>
  <c r="T45" i="8"/>
  <c r="R69" i="8"/>
  <c r="S69" i="8"/>
  <c r="T69" i="8"/>
  <c r="R93" i="8"/>
  <c r="S93" i="8"/>
  <c r="T93" i="8"/>
  <c r="R28" i="8"/>
  <c r="S28" i="8"/>
  <c r="T28" i="8"/>
  <c r="Q130" i="8"/>
  <c r="R55" i="8"/>
  <c r="S55" i="8"/>
  <c r="T55" i="8"/>
  <c r="R156" i="8"/>
  <c r="S156" i="8"/>
  <c r="T156" i="8"/>
  <c r="P128" i="8"/>
  <c r="Q15" i="8"/>
  <c r="Q39" i="8"/>
  <c r="Q63" i="8"/>
  <c r="Q87" i="8"/>
  <c r="Q140" i="8"/>
  <c r="P125" i="8"/>
  <c r="Q153" i="8"/>
  <c r="R135" i="8"/>
  <c r="S135" i="8"/>
  <c r="T135" i="8"/>
  <c r="Q25" i="8"/>
  <c r="Q49" i="8"/>
  <c r="Q73" i="8"/>
  <c r="Q97" i="8"/>
  <c r="Q43" i="8"/>
  <c r="Q32" i="8"/>
  <c r="Q56" i="8"/>
  <c r="Q80" i="8"/>
  <c r="Q146" i="8"/>
  <c r="R129" i="8"/>
  <c r="S129" i="8"/>
  <c r="T129" i="8"/>
  <c r="Q29" i="8"/>
  <c r="Q53" i="8"/>
  <c r="Q77" i="8"/>
  <c r="Q132" i="8"/>
  <c r="R122" i="8"/>
  <c r="S122" i="8"/>
  <c r="T122" i="8"/>
  <c r="Q144" i="8"/>
  <c r="Z139" i="31" l="1"/>
  <c r="AB139" i="31"/>
  <c r="AA139" i="31"/>
  <c r="Z127" i="31"/>
  <c r="AB127" i="31"/>
  <c r="AA127" i="31"/>
  <c r="Z18" i="31"/>
  <c r="AB18" i="31"/>
  <c r="AA18" i="31"/>
  <c r="Y21" i="31"/>
  <c r="Y116" i="31"/>
  <c r="Y59" i="31"/>
  <c r="Y91" i="31"/>
  <c r="Y57" i="31"/>
  <c r="Y54" i="31"/>
  <c r="Y87" i="31"/>
  <c r="Y170" i="31"/>
  <c r="Y160" i="31"/>
  <c r="Y128" i="31"/>
  <c r="Y20" i="31"/>
  <c r="Y40" i="31"/>
  <c r="Y50" i="31"/>
  <c r="Y136" i="31"/>
  <c r="Z114" i="31"/>
  <c r="AB114" i="31"/>
  <c r="AA114" i="31"/>
  <c r="Z150" i="31"/>
  <c r="AB150" i="31"/>
  <c r="AA150" i="31"/>
  <c r="Z77" i="31"/>
  <c r="AB77" i="31"/>
  <c r="AA77" i="31"/>
  <c r="Z62" i="31"/>
  <c r="AB62" i="31"/>
  <c r="AA62" i="31"/>
  <c r="Z48" i="31"/>
  <c r="AB48" i="31"/>
  <c r="AA48" i="31"/>
  <c r="Z113" i="31"/>
  <c r="AB113" i="31"/>
  <c r="AA113" i="31"/>
  <c r="Z82" i="31"/>
  <c r="AB82" i="31"/>
  <c r="AA82" i="31"/>
  <c r="Z152" i="31"/>
  <c r="AB152" i="31"/>
  <c r="AA152" i="31"/>
  <c r="Z64" i="31"/>
  <c r="AB64" i="31"/>
  <c r="AA64" i="31"/>
  <c r="Z43" i="31"/>
  <c r="AB43" i="31"/>
  <c r="AA43" i="31"/>
  <c r="Z71" i="31"/>
  <c r="AB71" i="31"/>
  <c r="AA71" i="31"/>
  <c r="Z104" i="31"/>
  <c r="AB104" i="31"/>
  <c r="AA104" i="31"/>
  <c r="Z79" i="31"/>
  <c r="AB79" i="31"/>
  <c r="AA79" i="31"/>
  <c r="Z99" i="31"/>
  <c r="AB99" i="31"/>
  <c r="AA99" i="31"/>
  <c r="Z37" i="31"/>
  <c r="AB37" i="31"/>
  <c r="AA37" i="31"/>
  <c r="Y155" i="31"/>
  <c r="Z171" i="31"/>
  <c r="AB171" i="31"/>
  <c r="AA171" i="31"/>
  <c r="Z75" i="31"/>
  <c r="AB75" i="31"/>
  <c r="AA75" i="31"/>
  <c r="Y158" i="31"/>
  <c r="Y27" i="31"/>
  <c r="Y35" i="31"/>
  <c r="Y67" i="31"/>
  <c r="Y76" i="31"/>
  <c r="Y121" i="31"/>
  <c r="Y165" i="31"/>
  <c r="AB176" i="31"/>
  <c r="Z176" i="31"/>
  <c r="AA176" i="31"/>
  <c r="Y36" i="31"/>
  <c r="Y86" i="31"/>
  <c r="Y32" i="31"/>
  <c r="Y52" i="31"/>
  <c r="Y145" i="31"/>
  <c r="Y163" i="31"/>
  <c r="Y66" i="31"/>
  <c r="Y122" i="31"/>
  <c r="Y44" i="31"/>
  <c r="Y175" i="31"/>
  <c r="Y130" i="31"/>
  <c r="Y164" i="31"/>
  <c r="Y94" i="31"/>
  <c r="Y172" i="31"/>
  <c r="Z141" i="31"/>
  <c r="AB141" i="31"/>
  <c r="AA141" i="31"/>
  <c r="Z103" i="31"/>
  <c r="AB103" i="31"/>
  <c r="AA103" i="31"/>
  <c r="Z159" i="31"/>
  <c r="AB159" i="31"/>
  <c r="AA159" i="31"/>
  <c r="Z174" i="31"/>
  <c r="AB174" i="31"/>
  <c r="AA174" i="31"/>
  <c r="AB154" i="31"/>
  <c r="Z154" i="31"/>
  <c r="AA154" i="31"/>
  <c r="Z140" i="31"/>
  <c r="AB140" i="31"/>
  <c r="AA140" i="31"/>
  <c r="Z90" i="31"/>
  <c r="AB90" i="31"/>
  <c r="AA90" i="31"/>
  <c r="Z106" i="31"/>
  <c r="AB106" i="31"/>
  <c r="AA106" i="31"/>
  <c r="Z68" i="31"/>
  <c r="AB68" i="31"/>
  <c r="AA68" i="31"/>
  <c r="Z29" i="31"/>
  <c r="AB29" i="31"/>
  <c r="AA29" i="31"/>
  <c r="Z84" i="31"/>
  <c r="AB84" i="31"/>
  <c r="AA84" i="31"/>
  <c r="Z72" i="31"/>
  <c r="AB72" i="31"/>
  <c r="AA72" i="31"/>
  <c r="Z117" i="31"/>
  <c r="AB117" i="31"/>
  <c r="AA117" i="31"/>
  <c r="Z110" i="31"/>
  <c r="AB110" i="31"/>
  <c r="AA110" i="31"/>
  <c r="Z125" i="31"/>
  <c r="AB125" i="31"/>
  <c r="AA125" i="31"/>
  <c r="Z58" i="31"/>
  <c r="AB58" i="31"/>
  <c r="AA58" i="31"/>
  <c r="Z61" i="31"/>
  <c r="AB61" i="31"/>
  <c r="AA61" i="31"/>
  <c r="Z93" i="31"/>
  <c r="AB93" i="31"/>
  <c r="AA93" i="31"/>
  <c r="Z55" i="31"/>
  <c r="AB55" i="31"/>
  <c r="AA55" i="31"/>
  <c r="AB151" i="31"/>
  <c r="Z151" i="31"/>
  <c r="AA151" i="31"/>
  <c r="Z118" i="31"/>
  <c r="AB118" i="31"/>
  <c r="AA118" i="31"/>
  <c r="Z156" i="31"/>
  <c r="AB156" i="31"/>
  <c r="AA156" i="31"/>
  <c r="Y101" i="31"/>
  <c r="Y83" i="31"/>
  <c r="Y17" i="31"/>
  <c r="Y31" i="31"/>
  <c r="Y166" i="31"/>
  <c r="Y124" i="31"/>
  <c r="Y92" i="31"/>
  <c r="Y24" i="31"/>
  <c r="Y28" i="31"/>
  <c r="Y16" i="31"/>
  <c r="Y15" i="31"/>
  <c r="Y78" i="31"/>
  <c r="Z39" i="31"/>
  <c r="AB39" i="31"/>
  <c r="AA39" i="31"/>
  <c r="Y30" i="31"/>
  <c r="Y111" i="31"/>
  <c r="Y138" i="31"/>
  <c r="Y144" i="31"/>
  <c r="Y100" i="31"/>
  <c r="Y85" i="31"/>
  <c r="Y96" i="31"/>
  <c r="Y38" i="31"/>
  <c r="Y167" i="31"/>
  <c r="Y131" i="31"/>
  <c r="Y69" i="31"/>
  <c r="Y41" i="31"/>
  <c r="Y153" i="31"/>
  <c r="Z56" i="31"/>
  <c r="AB56" i="31"/>
  <c r="AA56" i="31"/>
  <c r="Z105" i="31"/>
  <c r="AB105" i="31"/>
  <c r="AA105" i="31"/>
  <c r="Z49" i="31"/>
  <c r="AB49" i="31"/>
  <c r="AA49" i="31"/>
  <c r="Z81" i="31"/>
  <c r="AB81" i="31"/>
  <c r="AA81" i="31"/>
  <c r="Z137" i="31"/>
  <c r="AB137" i="31"/>
  <c r="AA137" i="31"/>
  <c r="Y147" i="31"/>
  <c r="Z115" i="31"/>
  <c r="AB115" i="31"/>
  <c r="AA115" i="31"/>
  <c r="Z135" i="31"/>
  <c r="AB135" i="31"/>
  <c r="AA135" i="31"/>
  <c r="Z132" i="31"/>
  <c r="AB132" i="31"/>
  <c r="AA132" i="31"/>
  <c r="Z102" i="31"/>
  <c r="AB102" i="31"/>
  <c r="AA102" i="31"/>
  <c r="Z45" i="31"/>
  <c r="AB45" i="31"/>
  <c r="AA45" i="31"/>
  <c r="Z34" i="31"/>
  <c r="AB34" i="31"/>
  <c r="AA34" i="31"/>
  <c r="Z162" i="31"/>
  <c r="AB162" i="31"/>
  <c r="AA162" i="31"/>
  <c r="Z98" i="31"/>
  <c r="AB98" i="31"/>
  <c r="AA98" i="31"/>
  <c r="Z120" i="31"/>
  <c r="AB120" i="31"/>
  <c r="AA120" i="31"/>
  <c r="AB161" i="31"/>
  <c r="Z161" i="31"/>
  <c r="AA161" i="31"/>
  <c r="Y109" i="31"/>
  <c r="Z108" i="31"/>
  <c r="AB108" i="31"/>
  <c r="AA108" i="31"/>
  <c r="Z168" i="31"/>
  <c r="AB168" i="31"/>
  <c r="AA168" i="31"/>
  <c r="Y42" i="31"/>
  <c r="Y33" i="31"/>
  <c r="Y133" i="31"/>
  <c r="Y74" i="31"/>
  <c r="Z157" i="31"/>
  <c r="AB157" i="31"/>
  <c r="AA157" i="31"/>
  <c r="Y80" i="31"/>
  <c r="Z119" i="31"/>
  <c r="AB119" i="31"/>
  <c r="AA119" i="31"/>
  <c r="Y169" i="31"/>
  <c r="Y51" i="31"/>
  <c r="Y143" i="31"/>
  <c r="Y129" i="31"/>
  <c r="Y46" i="31"/>
  <c r="Y60" i="31"/>
  <c r="Y22" i="31"/>
  <c r="Y25" i="31"/>
  <c r="Y23" i="31"/>
  <c r="Y178" i="31"/>
  <c r="Y126" i="31"/>
  <c r="Y142" i="31"/>
  <c r="Y65" i="31"/>
  <c r="Y47" i="31"/>
  <c r="Y107" i="31"/>
  <c r="Y134" i="31"/>
  <c r="Y112" i="31"/>
  <c r="Y148" i="31"/>
  <c r="Y70" i="31"/>
  <c r="Y73" i="31"/>
  <c r="Y26" i="31"/>
  <c r="Y173" i="31"/>
  <c r="Y146" i="31"/>
  <c r="Y53" i="31"/>
  <c r="Y95" i="31"/>
  <c r="Y63" i="31"/>
  <c r="Y88" i="31"/>
  <c r="Y89" i="31"/>
  <c r="Y179" i="31"/>
  <c r="Y19" i="31"/>
  <c r="Y149" i="31"/>
  <c r="Y123" i="31"/>
  <c r="Y97" i="31"/>
  <c r="Y177" i="31"/>
  <c r="R116" i="8"/>
  <c r="S116" i="8"/>
  <c r="T116" i="8"/>
  <c r="R72" i="8"/>
  <c r="S72" i="8"/>
  <c r="T72" i="8"/>
  <c r="T174" i="8"/>
  <c r="S174" i="8"/>
  <c r="R174" i="8"/>
  <c r="R136" i="8"/>
  <c r="S136" i="8"/>
  <c r="T136" i="8"/>
  <c r="R109" i="8"/>
  <c r="S109" i="8"/>
  <c r="T109" i="8"/>
  <c r="R158" i="8"/>
  <c r="S158" i="8"/>
  <c r="T158" i="8"/>
  <c r="R54" i="8"/>
  <c r="S54" i="8"/>
  <c r="T54" i="8"/>
  <c r="R78" i="8"/>
  <c r="S78" i="8"/>
  <c r="T78" i="8"/>
  <c r="T176" i="8"/>
  <c r="S176" i="8"/>
  <c r="R176" i="8"/>
  <c r="T175" i="8"/>
  <c r="R175" i="8"/>
  <c r="S175" i="8"/>
  <c r="R40" i="8"/>
  <c r="S40" i="8"/>
  <c r="T40" i="8"/>
  <c r="R18" i="8"/>
  <c r="S18" i="8"/>
  <c r="T18" i="8"/>
  <c r="R35" i="8"/>
  <c r="S35" i="8"/>
  <c r="T35" i="8"/>
  <c r="R154" i="8"/>
  <c r="S154" i="8"/>
  <c r="T154" i="8"/>
  <c r="R88" i="8"/>
  <c r="S88" i="8"/>
  <c r="T88" i="8"/>
  <c r="R30" i="8"/>
  <c r="S30" i="8"/>
  <c r="T30" i="8"/>
  <c r="T172" i="8"/>
  <c r="S172" i="8"/>
  <c r="R172" i="8"/>
  <c r="R94" i="8"/>
  <c r="S94" i="8"/>
  <c r="T94" i="8"/>
  <c r="R83" i="8"/>
  <c r="S83" i="8"/>
  <c r="T83" i="8"/>
  <c r="R48" i="8"/>
  <c r="S48" i="8"/>
  <c r="T48" i="8"/>
  <c r="R100" i="8"/>
  <c r="S100" i="8"/>
  <c r="T100" i="8"/>
  <c r="R131" i="8"/>
  <c r="S131" i="8"/>
  <c r="T131" i="8"/>
  <c r="R125" i="8"/>
  <c r="S125" i="8"/>
  <c r="T125" i="8"/>
  <c r="R149" i="8"/>
  <c r="S149" i="8"/>
  <c r="T149" i="8"/>
  <c r="R123" i="8"/>
  <c r="S123" i="8"/>
  <c r="T123" i="8"/>
  <c r="T178" i="8"/>
  <c r="S178" i="8"/>
  <c r="R178" i="8"/>
  <c r="T173" i="8"/>
  <c r="S173" i="8"/>
  <c r="R173" i="8"/>
  <c r="R95" i="8"/>
  <c r="S95" i="8"/>
  <c r="T95" i="8"/>
  <c r="R108" i="8"/>
  <c r="S108" i="8"/>
  <c r="T108" i="8"/>
  <c r="R70" i="8"/>
  <c r="S70" i="8"/>
  <c r="T70" i="8"/>
  <c r="R96" i="8"/>
  <c r="S96" i="8"/>
  <c r="T96" i="8"/>
  <c r="R52" i="8"/>
  <c r="S52" i="8"/>
  <c r="T52" i="8"/>
  <c r="R161" i="8"/>
  <c r="T161" i="8"/>
  <c r="S161" i="8"/>
  <c r="T179" i="8"/>
  <c r="S179" i="8"/>
  <c r="R179" i="8"/>
  <c r="R22" i="8"/>
  <c r="S22" i="8"/>
  <c r="T22" i="8"/>
  <c r="R71" i="8"/>
  <c r="S71" i="8"/>
  <c r="T71" i="8"/>
  <c r="R118" i="8"/>
  <c r="S118" i="8"/>
  <c r="T118" i="8"/>
  <c r="T177" i="8"/>
  <c r="S177" i="8"/>
  <c r="R177" i="8"/>
  <c r="R155" i="8"/>
  <c r="S155" i="8"/>
  <c r="T155" i="8"/>
  <c r="R24" i="8"/>
  <c r="S24" i="8"/>
  <c r="T24" i="8"/>
  <c r="R143" i="8"/>
  <c r="S143" i="8"/>
  <c r="T143" i="8"/>
  <c r="R150" i="8"/>
  <c r="S150" i="8"/>
  <c r="T150" i="8"/>
  <c r="R133" i="8"/>
  <c r="S133" i="8"/>
  <c r="T133" i="8"/>
  <c r="T164" i="8"/>
  <c r="S164" i="8"/>
  <c r="R164" i="8"/>
  <c r="T163" i="8"/>
  <c r="S163" i="8"/>
  <c r="R163" i="8"/>
  <c r="R126" i="8"/>
  <c r="S126" i="8"/>
  <c r="T126" i="8"/>
  <c r="R101" i="8"/>
  <c r="S101" i="8"/>
  <c r="T101" i="8"/>
  <c r="R114" i="8"/>
  <c r="S114" i="8"/>
  <c r="T114" i="8"/>
  <c r="R148" i="8"/>
  <c r="S148" i="8"/>
  <c r="T148" i="8"/>
  <c r="R138" i="8"/>
  <c r="S138" i="8"/>
  <c r="T138" i="8"/>
  <c r="R160" i="8"/>
  <c r="T160" i="8"/>
  <c r="S160" i="8"/>
  <c r="R47" i="8"/>
  <c r="S47" i="8"/>
  <c r="T47" i="8"/>
  <c r="R137" i="8"/>
  <c r="S137" i="8"/>
  <c r="T137" i="8"/>
  <c r="R76" i="8"/>
  <c r="S76" i="8"/>
  <c r="T76" i="8"/>
  <c r="R112" i="8"/>
  <c r="S112" i="8"/>
  <c r="T112" i="8"/>
  <c r="R128" i="8"/>
  <c r="S128" i="8"/>
  <c r="T128" i="8"/>
  <c r="R127" i="8"/>
  <c r="S127" i="8"/>
  <c r="T127" i="8"/>
  <c r="R119" i="8"/>
  <c r="S119" i="8"/>
  <c r="T119" i="8"/>
  <c r="R107" i="8"/>
  <c r="S107" i="8"/>
  <c r="T107" i="8"/>
  <c r="R46" i="8"/>
  <c r="S46" i="8"/>
  <c r="T46" i="8"/>
  <c r="T165" i="8"/>
  <c r="S165" i="8"/>
  <c r="R165" i="8"/>
  <c r="R23" i="8"/>
  <c r="S23" i="8"/>
  <c r="T23" i="8"/>
  <c r="R113" i="8"/>
  <c r="S113" i="8"/>
  <c r="T113" i="8"/>
  <c r="R102" i="8"/>
  <c r="S102" i="8"/>
  <c r="T102" i="8"/>
  <c r="R64" i="8"/>
  <c r="S64" i="8"/>
  <c r="T64" i="8"/>
  <c r="R59" i="8"/>
  <c r="S59" i="8"/>
  <c r="T59" i="8"/>
  <c r="R66" i="8"/>
  <c r="S66" i="8"/>
  <c r="T66" i="8"/>
  <c r="T166" i="8"/>
  <c r="R166" i="8"/>
  <c r="S166" i="8"/>
  <c r="R121" i="8"/>
  <c r="S121" i="8"/>
  <c r="T121" i="8"/>
  <c r="Z22" i="31" l="1"/>
  <c r="AB22" i="31"/>
  <c r="AA22" i="31"/>
  <c r="Z59" i="31"/>
  <c r="AB59" i="31"/>
  <c r="AA59" i="31"/>
  <c r="Z19" i="31"/>
  <c r="AB19" i="31"/>
  <c r="AA19" i="31"/>
  <c r="AB148" i="31"/>
  <c r="Z148" i="31"/>
  <c r="AA148" i="31"/>
  <c r="Z60" i="31"/>
  <c r="AB60" i="31"/>
  <c r="AA60" i="31"/>
  <c r="Z69" i="31"/>
  <c r="AB69" i="31"/>
  <c r="AA69" i="31"/>
  <c r="Z83" i="31"/>
  <c r="AB83" i="31"/>
  <c r="AA83" i="31"/>
  <c r="Z175" i="31"/>
  <c r="AB175" i="31"/>
  <c r="AA175" i="31"/>
  <c r="Z136" i="31"/>
  <c r="AB136" i="31"/>
  <c r="AA136" i="31"/>
  <c r="Z116" i="31"/>
  <c r="AB116" i="31"/>
  <c r="AA116" i="31"/>
  <c r="Z74" i="31"/>
  <c r="AB74" i="31"/>
  <c r="AA74" i="31"/>
  <c r="Z131" i="31"/>
  <c r="AB131" i="31"/>
  <c r="AA131" i="31"/>
  <c r="Z101" i="31"/>
  <c r="AB101" i="31"/>
  <c r="AA101" i="31"/>
  <c r="Z44" i="31"/>
  <c r="AB44" i="31"/>
  <c r="AA44" i="31"/>
  <c r="Z165" i="31"/>
  <c r="AB165" i="31"/>
  <c r="AA165" i="31"/>
  <c r="Z50" i="31"/>
  <c r="AB50" i="31"/>
  <c r="AA50" i="31"/>
  <c r="Z21" i="31"/>
  <c r="AB21" i="31"/>
  <c r="AA21" i="31"/>
  <c r="Z89" i="31"/>
  <c r="AB89" i="31"/>
  <c r="AA89" i="31"/>
  <c r="Z134" i="31"/>
  <c r="AB134" i="31"/>
  <c r="AA134" i="31"/>
  <c r="Z129" i="31"/>
  <c r="AB129" i="31"/>
  <c r="AA129" i="31"/>
  <c r="Z133" i="31"/>
  <c r="AB133" i="31"/>
  <c r="AA133" i="31"/>
  <c r="AB167" i="31"/>
  <c r="Z167" i="31"/>
  <c r="AA167" i="31"/>
  <c r="Z78" i="31"/>
  <c r="AB78" i="31"/>
  <c r="AA78" i="31"/>
  <c r="Z122" i="31"/>
  <c r="AB122" i="31"/>
  <c r="AA122" i="31"/>
  <c r="Z121" i="31"/>
  <c r="AB121" i="31"/>
  <c r="AA121" i="31"/>
  <c r="Z155" i="31"/>
  <c r="AB155" i="31"/>
  <c r="AA155" i="31"/>
  <c r="Z40" i="31"/>
  <c r="AB40" i="31"/>
  <c r="AA40" i="31"/>
  <c r="Z70" i="31"/>
  <c r="AB70" i="31"/>
  <c r="AA70" i="31"/>
  <c r="Z88" i="31"/>
  <c r="AB88" i="31"/>
  <c r="AA88" i="31"/>
  <c r="Z107" i="31"/>
  <c r="AB107" i="31"/>
  <c r="AA107" i="31"/>
  <c r="Z143" i="31"/>
  <c r="AB143" i="31"/>
  <c r="AA143" i="31"/>
  <c r="Z33" i="31"/>
  <c r="AB33" i="31"/>
  <c r="AA33" i="31"/>
  <c r="Z38" i="31"/>
  <c r="AB38" i="31"/>
  <c r="AA38" i="31"/>
  <c r="Z15" i="31"/>
  <c r="AB15" i="31"/>
  <c r="AA15" i="31"/>
  <c r="Z66" i="31"/>
  <c r="AB66" i="31"/>
  <c r="AA66" i="31"/>
  <c r="Z76" i="31"/>
  <c r="AB76" i="31"/>
  <c r="AA76" i="31"/>
  <c r="Z20" i="31"/>
  <c r="AB20" i="31"/>
  <c r="AA20" i="31"/>
  <c r="Z109" i="31"/>
  <c r="AB109" i="31"/>
  <c r="AA109" i="31"/>
  <c r="Z63" i="31"/>
  <c r="AB63" i="31"/>
  <c r="AA63" i="31"/>
  <c r="Z47" i="31"/>
  <c r="AB47" i="31"/>
  <c r="AA47" i="31"/>
  <c r="Z51" i="31"/>
  <c r="AB51" i="31"/>
  <c r="AA51" i="31"/>
  <c r="Z42" i="31"/>
  <c r="AB42" i="31"/>
  <c r="AA42" i="31"/>
  <c r="Z96" i="31"/>
  <c r="AB96" i="31"/>
  <c r="AA96" i="31"/>
  <c r="Z16" i="31"/>
  <c r="AB16" i="31"/>
  <c r="AA16" i="31"/>
  <c r="Z163" i="31"/>
  <c r="AB163" i="31"/>
  <c r="AA163" i="31"/>
  <c r="Z67" i="31"/>
  <c r="AB67" i="31"/>
  <c r="AA67" i="31"/>
  <c r="Z128" i="31"/>
  <c r="AB128" i="31"/>
  <c r="AA128" i="31"/>
  <c r="Z130" i="31"/>
  <c r="AB130" i="31"/>
  <c r="AA130" i="31"/>
  <c r="AB179" i="31"/>
  <c r="Z179" i="31"/>
  <c r="AA179" i="31"/>
  <c r="Z95" i="31"/>
  <c r="AB95" i="31"/>
  <c r="AA95" i="31"/>
  <c r="Z65" i="31"/>
  <c r="AB65" i="31"/>
  <c r="AA65" i="31"/>
  <c r="Z169" i="31"/>
  <c r="AB169" i="31"/>
  <c r="AA169" i="31"/>
  <c r="Z85" i="31"/>
  <c r="AB85" i="31"/>
  <c r="AA85" i="31"/>
  <c r="Z28" i="31"/>
  <c r="AB28" i="31"/>
  <c r="AA28" i="31"/>
  <c r="Z145" i="31"/>
  <c r="AB145" i="31"/>
  <c r="AA145" i="31"/>
  <c r="Z35" i="31"/>
  <c r="AB35" i="31"/>
  <c r="AA35" i="31"/>
  <c r="Z160" i="31"/>
  <c r="AB160" i="31"/>
  <c r="AA160" i="31"/>
  <c r="Z53" i="31"/>
  <c r="AB53" i="31"/>
  <c r="AA53" i="31"/>
  <c r="Z142" i="31"/>
  <c r="AB142" i="31"/>
  <c r="AA142" i="31"/>
  <c r="Z147" i="31"/>
  <c r="AB147" i="31"/>
  <c r="AA147" i="31"/>
  <c r="Z100" i="31"/>
  <c r="AB100" i="31"/>
  <c r="AA100" i="31"/>
  <c r="Z24" i="31"/>
  <c r="AB24" i="31"/>
  <c r="AA24" i="31"/>
  <c r="Z52" i="31"/>
  <c r="AB52" i="31"/>
  <c r="AA52" i="31"/>
  <c r="Z27" i="31"/>
  <c r="AB27" i="31"/>
  <c r="AA27" i="31"/>
  <c r="AB170" i="31"/>
  <c r="Z170" i="31"/>
  <c r="AA170" i="31"/>
  <c r="Z41" i="31"/>
  <c r="AB41" i="31"/>
  <c r="AA41" i="31"/>
  <c r="Z112" i="31"/>
  <c r="AB112" i="31"/>
  <c r="AA112" i="31"/>
  <c r="Z146" i="31"/>
  <c r="AB146" i="31"/>
  <c r="AA146" i="31"/>
  <c r="Z126" i="31"/>
  <c r="AB126" i="31"/>
  <c r="AA126" i="31"/>
  <c r="Z144" i="31"/>
  <c r="AB144" i="31"/>
  <c r="AA144" i="31"/>
  <c r="Z92" i="31"/>
  <c r="AB92" i="31"/>
  <c r="AA92" i="31"/>
  <c r="Z32" i="31"/>
  <c r="AB32" i="31"/>
  <c r="AA32" i="31"/>
  <c r="AB158" i="31"/>
  <c r="Z158" i="31"/>
  <c r="AA158" i="31"/>
  <c r="Z87" i="31"/>
  <c r="AB87" i="31"/>
  <c r="AA87" i="31"/>
  <c r="Z177" i="31"/>
  <c r="AB177" i="31"/>
  <c r="AA177" i="31"/>
  <c r="AB173" i="31"/>
  <c r="Z173" i="31"/>
  <c r="AA173" i="31"/>
  <c r="Z178" i="31"/>
  <c r="AB178" i="31"/>
  <c r="AA178" i="31"/>
  <c r="Z138" i="31"/>
  <c r="AB138" i="31"/>
  <c r="AA138" i="31"/>
  <c r="Z124" i="31"/>
  <c r="AB124" i="31"/>
  <c r="AA124" i="31"/>
  <c r="Z172" i="31"/>
  <c r="AB172" i="31"/>
  <c r="AA172" i="31"/>
  <c r="Z86" i="31"/>
  <c r="AB86" i="31"/>
  <c r="AA86" i="31"/>
  <c r="Z54" i="31"/>
  <c r="AB54" i="31"/>
  <c r="AA54" i="31"/>
  <c r="Z46" i="31"/>
  <c r="AB46" i="31"/>
  <c r="AA46" i="31"/>
  <c r="Z97" i="31"/>
  <c r="AB97" i="31"/>
  <c r="AA97" i="31"/>
  <c r="Z26" i="31"/>
  <c r="AB26" i="31"/>
  <c r="AA26" i="31"/>
  <c r="Z23" i="31"/>
  <c r="AB23" i="31"/>
  <c r="AA23" i="31"/>
  <c r="Z80" i="31"/>
  <c r="AB80" i="31"/>
  <c r="AA80" i="31"/>
  <c r="Z111" i="31"/>
  <c r="AB111" i="31"/>
  <c r="AA111" i="31"/>
  <c r="Z166" i="31"/>
  <c r="AB166" i="31"/>
  <c r="AA166" i="31"/>
  <c r="Z94" i="31"/>
  <c r="AB94" i="31"/>
  <c r="AA94" i="31"/>
  <c r="Z36" i="31"/>
  <c r="AB36" i="31"/>
  <c r="AA36" i="31"/>
  <c r="Z57" i="31"/>
  <c r="AB57" i="31"/>
  <c r="AA57" i="31"/>
  <c r="Z149" i="31"/>
  <c r="AB149" i="31"/>
  <c r="AA149" i="31"/>
  <c r="Z17" i="31"/>
  <c r="AB17" i="31"/>
  <c r="AA17" i="31"/>
  <c r="Z123" i="31"/>
  <c r="AB123" i="31"/>
  <c r="AA123" i="31"/>
  <c r="Z73" i="31"/>
  <c r="AB73" i="31"/>
  <c r="AA73" i="31"/>
  <c r="Z25" i="31"/>
  <c r="AB25" i="31"/>
  <c r="AA25" i="31"/>
  <c r="Z153" i="31"/>
  <c r="AB153" i="31"/>
  <c r="AA153" i="31"/>
  <c r="Z30" i="31"/>
  <c r="AB30" i="31"/>
  <c r="AA30" i="31"/>
  <c r="Z31" i="31"/>
  <c r="AB31" i="31"/>
  <c r="AA31" i="31"/>
  <c r="AB164" i="31"/>
  <c r="Z164" i="31"/>
  <c r="AA164" i="31"/>
  <c r="Z91" i="31"/>
  <c r="AB91" i="31"/>
  <c r="AA91" i="31"/>
  <c r="H179" i="32"/>
  <c r="H178" i="32"/>
  <c r="H177" i="32"/>
  <c r="H176" i="32"/>
  <c r="H175" i="32"/>
  <c r="H174" i="32"/>
  <c r="H173" i="32"/>
  <c r="H172" i="32"/>
  <c r="H171" i="32"/>
  <c r="H170" i="32"/>
  <c r="H169" i="32"/>
  <c r="H168" i="32"/>
  <c r="T168" i="32" s="1"/>
  <c r="H167" i="32"/>
  <c r="H166" i="32"/>
  <c r="H165" i="32"/>
  <c r="H164" i="32"/>
  <c r="H163" i="32"/>
  <c r="H162" i="32"/>
  <c r="H161" i="32"/>
  <c r="H160" i="32"/>
  <c r="H159" i="32"/>
  <c r="H158" i="32"/>
  <c r="H157" i="32"/>
  <c r="H156" i="32"/>
  <c r="T156" i="32" s="1"/>
  <c r="H155" i="32"/>
  <c r="H154" i="32"/>
  <c r="H153" i="32"/>
  <c r="H152" i="32"/>
  <c r="H151" i="32"/>
  <c r="H150" i="32"/>
  <c r="H149" i="32"/>
  <c r="H148" i="32"/>
  <c r="H147" i="32"/>
  <c r="H146" i="32"/>
  <c r="H145" i="32"/>
  <c r="H144" i="32"/>
  <c r="T144" i="32" s="1"/>
  <c r="H143" i="32"/>
  <c r="H142" i="32"/>
  <c r="H141" i="32"/>
  <c r="H140" i="32"/>
  <c r="H139" i="32"/>
  <c r="H138" i="32"/>
  <c r="H137" i="32"/>
  <c r="H136" i="32"/>
  <c r="H135" i="32"/>
  <c r="H134" i="32"/>
  <c r="H133" i="32"/>
  <c r="H132" i="32"/>
  <c r="T132" i="32" s="1"/>
  <c r="H131" i="32"/>
  <c r="H130" i="32"/>
  <c r="H129" i="32"/>
  <c r="H128" i="32"/>
  <c r="H127" i="32"/>
  <c r="H126" i="32"/>
  <c r="H125" i="32"/>
  <c r="H124" i="32"/>
  <c r="H123" i="32"/>
  <c r="H122" i="32"/>
  <c r="H121" i="32"/>
  <c r="H120" i="32"/>
  <c r="T120" i="32" s="1"/>
  <c r="H119" i="32"/>
  <c r="H118" i="32"/>
  <c r="H117" i="32"/>
  <c r="H116" i="32"/>
  <c r="H115" i="32"/>
  <c r="H114" i="32"/>
  <c r="H113" i="32"/>
  <c r="H112" i="32"/>
  <c r="H111" i="32"/>
  <c r="H110" i="32"/>
  <c r="H109" i="32"/>
  <c r="H108" i="32"/>
  <c r="T108" i="32" s="1"/>
  <c r="H107" i="32"/>
  <c r="H106" i="32"/>
  <c r="H105" i="32"/>
  <c r="H104" i="32"/>
  <c r="H103" i="32"/>
  <c r="H102" i="32"/>
  <c r="H101" i="32"/>
  <c r="H100" i="32"/>
  <c r="H99" i="32"/>
  <c r="H98" i="32"/>
  <c r="H97" i="32"/>
  <c r="H96" i="32"/>
  <c r="T96" i="32" s="1"/>
  <c r="H95" i="32"/>
  <c r="H94" i="32"/>
  <c r="H93" i="32"/>
  <c r="H92" i="32"/>
  <c r="H91" i="32"/>
  <c r="H90" i="32"/>
  <c r="H89" i="32"/>
  <c r="H88" i="32"/>
  <c r="H87" i="32"/>
  <c r="H86" i="32"/>
  <c r="H85" i="32"/>
  <c r="H84" i="32"/>
  <c r="T84" i="32" s="1"/>
  <c r="H83" i="32"/>
  <c r="H82" i="32"/>
  <c r="H81" i="32"/>
  <c r="H80" i="32"/>
  <c r="H79" i="32"/>
  <c r="H78" i="32"/>
  <c r="H77" i="32"/>
  <c r="H76" i="32"/>
  <c r="H75" i="32"/>
  <c r="H74" i="32"/>
  <c r="H73" i="32"/>
  <c r="H72" i="32"/>
  <c r="T72" i="32" s="1"/>
  <c r="H71" i="32"/>
  <c r="H70" i="32"/>
  <c r="H69" i="32"/>
  <c r="H68" i="32"/>
  <c r="H67" i="32"/>
  <c r="H66" i="32"/>
  <c r="H65" i="32"/>
  <c r="H64" i="32"/>
  <c r="H63" i="32"/>
  <c r="H62" i="32"/>
  <c r="H61" i="32"/>
  <c r="H60" i="32"/>
  <c r="T60" i="32" s="1"/>
  <c r="H59" i="32"/>
  <c r="H58" i="32"/>
  <c r="H57" i="32"/>
  <c r="H56" i="32"/>
  <c r="H55" i="32"/>
  <c r="H54" i="32"/>
  <c r="H53" i="32"/>
  <c r="H52" i="32"/>
  <c r="H51" i="32"/>
  <c r="H50" i="32"/>
  <c r="H49" i="32"/>
  <c r="H48" i="32"/>
  <c r="T48" i="32" s="1"/>
  <c r="H47" i="32"/>
  <c r="H46" i="32"/>
  <c r="H45" i="32"/>
  <c r="H44" i="32"/>
  <c r="H43" i="32"/>
  <c r="H42" i="32"/>
  <c r="H41" i="32"/>
  <c r="H40" i="32"/>
  <c r="H39" i="32"/>
  <c r="H38" i="32"/>
  <c r="H37" i="32"/>
  <c r="H36" i="32"/>
  <c r="T36" i="32" s="1"/>
  <c r="H35" i="32"/>
  <c r="H34" i="32"/>
  <c r="H33" i="32"/>
  <c r="H32" i="32"/>
  <c r="H31" i="32"/>
  <c r="H30" i="32"/>
  <c r="H29" i="32"/>
  <c r="H28" i="32"/>
  <c r="H27" i="32"/>
  <c r="H26" i="32"/>
  <c r="H25" i="32"/>
  <c r="H24" i="32"/>
  <c r="T24" i="32" s="1"/>
  <c r="H23" i="32"/>
  <c r="H22" i="32"/>
  <c r="H21" i="32"/>
  <c r="H20" i="32"/>
  <c r="J15" i="32"/>
  <c r="P15" i="32"/>
  <c r="Q15" i="32" s="1"/>
  <c r="R15" i="32" s="1"/>
  <c r="T15" i="32"/>
  <c r="J16" i="32"/>
  <c r="P16" i="32"/>
  <c r="Q16" i="32" s="1"/>
  <c r="R16" i="32" s="1"/>
  <c r="T16" i="32"/>
  <c r="J17" i="32"/>
  <c r="P17" i="32"/>
  <c r="Q17" i="32" s="1"/>
  <c r="R17" i="32" s="1"/>
  <c r="T17" i="32"/>
  <c r="J18" i="32"/>
  <c r="P18" i="32"/>
  <c r="Q18" i="32" s="1"/>
  <c r="R18" i="32" s="1"/>
  <c r="T18" i="32"/>
  <c r="J19" i="32"/>
  <c r="P19" i="32"/>
  <c r="Q19" i="32" s="1"/>
  <c r="R19" i="32" s="1"/>
  <c r="T19" i="32"/>
  <c r="J20" i="32"/>
  <c r="P20" i="32"/>
  <c r="Q20" i="32" s="1"/>
  <c r="R20" i="32" s="1"/>
  <c r="T20" i="32"/>
  <c r="J21" i="32"/>
  <c r="P21" i="32"/>
  <c r="Q21" i="32" s="1"/>
  <c r="R21" i="32" s="1"/>
  <c r="T21" i="32"/>
  <c r="J22" i="32"/>
  <c r="P22" i="32"/>
  <c r="Q22" i="32" s="1"/>
  <c r="R22" i="32" s="1"/>
  <c r="T22" i="32"/>
  <c r="J23" i="32"/>
  <c r="P23" i="32"/>
  <c r="Q23" i="32" s="1"/>
  <c r="R23" i="32" s="1"/>
  <c r="T23" i="32"/>
  <c r="J24" i="32"/>
  <c r="P24" i="32"/>
  <c r="Q24" i="32" s="1"/>
  <c r="R24" i="32" s="1"/>
  <c r="J25" i="32"/>
  <c r="P25" i="32"/>
  <c r="Q25" i="32" s="1"/>
  <c r="R25" i="32" s="1"/>
  <c r="T25" i="32"/>
  <c r="J26" i="32"/>
  <c r="P26" i="32"/>
  <c r="Q26" i="32" s="1"/>
  <c r="R26" i="32" s="1"/>
  <c r="T26" i="32"/>
  <c r="J27" i="32"/>
  <c r="P27" i="32"/>
  <c r="Q27" i="32" s="1"/>
  <c r="R27" i="32" s="1"/>
  <c r="T27" i="32"/>
  <c r="J28" i="32"/>
  <c r="P28" i="32"/>
  <c r="Q28" i="32" s="1"/>
  <c r="R28" i="32" s="1"/>
  <c r="T28" i="32"/>
  <c r="J29" i="32"/>
  <c r="P29" i="32"/>
  <c r="Q29" i="32" s="1"/>
  <c r="R29" i="32" s="1"/>
  <c r="T29" i="32"/>
  <c r="J30" i="32"/>
  <c r="P30" i="32"/>
  <c r="Q30" i="32" s="1"/>
  <c r="R30" i="32" s="1"/>
  <c r="T30" i="32"/>
  <c r="J31" i="32"/>
  <c r="P31" i="32"/>
  <c r="Q31" i="32" s="1"/>
  <c r="R31" i="32" s="1"/>
  <c r="T31" i="32"/>
  <c r="J32" i="32"/>
  <c r="P32" i="32"/>
  <c r="Q32" i="32" s="1"/>
  <c r="R32" i="32" s="1"/>
  <c r="T32" i="32"/>
  <c r="J33" i="32"/>
  <c r="P33" i="32"/>
  <c r="Q33" i="32" s="1"/>
  <c r="R33" i="32" s="1"/>
  <c r="T33" i="32"/>
  <c r="J34" i="32"/>
  <c r="P34" i="32"/>
  <c r="Q34" i="32" s="1"/>
  <c r="R34" i="32" s="1"/>
  <c r="T34" i="32"/>
  <c r="J35" i="32"/>
  <c r="P35" i="32"/>
  <c r="Q35" i="32" s="1"/>
  <c r="R35" i="32" s="1"/>
  <c r="T35" i="32"/>
  <c r="J36" i="32"/>
  <c r="P36" i="32"/>
  <c r="Q36" i="32" s="1"/>
  <c r="R36" i="32" s="1"/>
  <c r="J37" i="32"/>
  <c r="P37" i="32"/>
  <c r="Q37" i="32" s="1"/>
  <c r="R37" i="32" s="1"/>
  <c r="T37" i="32"/>
  <c r="J38" i="32"/>
  <c r="P38" i="32"/>
  <c r="Q38" i="32" s="1"/>
  <c r="R38" i="32" s="1"/>
  <c r="T38" i="32"/>
  <c r="J39" i="32"/>
  <c r="P39" i="32"/>
  <c r="Q39" i="32" s="1"/>
  <c r="R39" i="32" s="1"/>
  <c r="T39" i="32"/>
  <c r="J40" i="32"/>
  <c r="P40" i="32"/>
  <c r="Q40" i="32" s="1"/>
  <c r="R40" i="32" s="1"/>
  <c r="T40" i="32"/>
  <c r="J41" i="32"/>
  <c r="P41" i="32"/>
  <c r="Q41" i="32" s="1"/>
  <c r="R41" i="32" s="1"/>
  <c r="T41" i="32"/>
  <c r="J42" i="32"/>
  <c r="P42" i="32"/>
  <c r="Q42" i="32" s="1"/>
  <c r="R42" i="32" s="1"/>
  <c r="T42" i="32"/>
  <c r="J43" i="32"/>
  <c r="P43" i="32"/>
  <c r="Q43" i="32" s="1"/>
  <c r="R43" i="32" s="1"/>
  <c r="T43" i="32"/>
  <c r="J44" i="32"/>
  <c r="P44" i="32"/>
  <c r="Q44" i="32" s="1"/>
  <c r="R44" i="32"/>
  <c r="T44" i="32"/>
  <c r="J45" i="32"/>
  <c r="P45" i="32"/>
  <c r="Q45" i="32" s="1"/>
  <c r="R45" i="32" s="1"/>
  <c r="T45" i="32"/>
  <c r="J46" i="32"/>
  <c r="P46" i="32"/>
  <c r="Q46" i="32" s="1"/>
  <c r="R46" i="32"/>
  <c r="T46" i="32"/>
  <c r="J47" i="32"/>
  <c r="P47" i="32"/>
  <c r="Q47" i="32" s="1"/>
  <c r="R47" i="32"/>
  <c r="T47" i="32"/>
  <c r="J48" i="32"/>
  <c r="P48" i="32"/>
  <c r="Q48" i="32" s="1"/>
  <c r="R48" i="32"/>
  <c r="J49" i="32"/>
  <c r="P49" i="32"/>
  <c r="Q49" i="32" s="1"/>
  <c r="R49" i="32" s="1"/>
  <c r="T49" i="32"/>
  <c r="J50" i="32"/>
  <c r="P50" i="32"/>
  <c r="Q50" i="32" s="1"/>
  <c r="R50" i="32" s="1"/>
  <c r="T50" i="32"/>
  <c r="J51" i="32"/>
  <c r="P51" i="32"/>
  <c r="Q51" i="32" s="1"/>
  <c r="R51" i="32" s="1"/>
  <c r="T51" i="32"/>
  <c r="J52" i="32"/>
  <c r="P52" i="32"/>
  <c r="Q52" i="32" s="1"/>
  <c r="R52" i="32"/>
  <c r="T52" i="32"/>
  <c r="J53" i="32"/>
  <c r="P53" i="32"/>
  <c r="Q53" i="32" s="1"/>
  <c r="R53" i="32"/>
  <c r="T53" i="32"/>
  <c r="J54" i="32"/>
  <c r="P54" i="32"/>
  <c r="Q54" i="32" s="1"/>
  <c r="R54" i="32"/>
  <c r="T54" i="32"/>
  <c r="J55" i="32"/>
  <c r="P55" i="32"/>
  <c r="Q55" i="32" s="1"/>
  <c r="R55" i="32"/>
  <c r="T55" i="32"/>
  <c r="J56" i="32"/>
  <c r="P56" i="32"/>
  <c r="Q56" i="32" s="1"/>
  <c r="R56" i="32"/>
  <c r="T56" i="32"/>
  <c r="J57" i="32"/>
  <c r="P57" i="32"/>
  <c r="Q57" i="32" s="1"/>
  <c r="R57" i="32"/>
  <c r="T57" i="32"/>
  <c r="J58" i="32"/>
  <c r="P58" i="32"/>
  <c r="Q58" i="32" s="1"/>
  <c r="R58" i="32" s="1"/>
  <c r="T58" i="32"/>
  <c r="J59" i="32"/>
  <c r="P59" i="32"/>
  <c r="Q59" i="32" s="1"/>
  <c r="R59" i="32" s="1"/>
  <c r="T59" i="32"/>
  <c r="J60" i="32"/>
  <c r="P60" i="32"/>
  <c r="Q60" i="32" s="1"/>
  <c r="R60" i="32"/>
  <c r="J61" i="32"/>
  <c r="P61" i="32"/>
  <c r="Q61" i="32"/>
  <c r="R61" i="32"/>
  <c r="T61" i="32"/>
  <c r="J62" i="32"/>
  <c r="P62" i="32"/>
  <c r="Q62" i="32" s="1"/>
  <c r="R62" i="32" s="1"/>
  <c r="T62" i="32"/>
  <c r="J63" i="32"/>
  <c r="P63" i="32"/>
  <c r="Q63" i="32" s="1"/>
  <c r="R63" i="32" s="1"/>
  <c r="T63" i="32"/>
  <c r="J64" i="32"/>
  <c r="P64" i="32"/>
  <c r="Q64" i="32" s="1"/>
  <c r="R64" i="32" s="1"/>
  <c r="T64" i="32"/>
  <c r="J65" i="32"/>
  <c r="P65" i="32"/>
  <c r="Q65" i="32" s="1"/>
  <c r="R65" i="32"/>
  <c r="T65" i="32"/>
  <c r="J66" i="32"/>
  <c r="P66" i="32"/>
  <c r="Q66" i="32"/>
  <c r="R66" i="32" s="1"/>
  <c r="T66" i="32"/>
  <c r="J67" i="32"/>
  <c r="P67" i="32"/>
  <c r="Q67" i="32"/>
  <c r="R67" i="32"/>
  <c r="T67" i="32"/>
  <c r="J68" i="32"/>
  <c r="P68" i="32"/>
  <c r="Q68" i="32"/>
  <c r="R68" i="32"/>
  <c r="T68" i="32"/>
  <c r="J69" i="32"/>
  <c r="P69" i="32"/>
  <c r="Q69" i="32"/>
  <c r="R69" i="32" s="1"/>
  <c r="T69" i="32"/>
  <c r="J70" i="32"/>
  <c r="P70" i="32"/>
  <c r="Q70" i="32" s="1"/>
  <c r="R70" i="32" s="1"/>
  <c r="T70" i="32"/>
  <c r="J71" i="32"/>
  <c r="P71" i="32"/>
  <c r="Q71" i="32" s="1"/>
  <c r="R71" i="32" s="1"/>
  <c r="T71" i="32"/>
  <c r="J72" i="32"/>
  <c r="P72" i="32"/>
  <c r="Q72" i="32"/>
  <c r="R72" i="32" s="1"/>
  <c r="J73" i="32"/>
  <c r="P73" i="32"/>
  <c r="Q73" i="32" s="1"/>
  <c r="R73" i="32" s="1"/>
  <c r="T73" i="32"/>
  <c r="J74" i="32"/>
  <c r="P74" i="32"/>
  <c r="Q74" i="32" s="1"/>
  <c r="R74" i="32" s="1"/>
  <c r="T74" i="32"/>
  <c r="J75" i="32"/>
  <c r="P75" i="32"/>
  <c r="Q75" i="32" s="1"/>
  <c r="R75" i="32" s="1"/>
  <c r="T75" i="32"/>
  <c r="J76" i="32"/>
  <c r="P76" i="32"/>
  <c r="Q76" i="32" s="1"/>
  <c r="R76" i="32" s="1"/>
  <c r="T76" i="32"/>
  <c r="J77" i="32"/>
  <c r="P77" i="32"/>
  <c r="Q77" i="32" s="1"/>
  <c r="R77" i="32" s="1"/>
  <c r="T77" i="32"/>
  <c r="J78" i="32"/>
  <c r="P78" i="32"/>
  <c r="Q78" i="32" s="1"/>
  <c r="R78" i="32" s="1"/>
  <c r="T78" i="32"/>
  <c r="J79" i="32"/>
  <c r="P79" i="32"/>
  <c r="Q79" i="32" s="1"/>
  <c r="R79" i="32"/>
  <c r="T79" i="32"/>
  <c r="J80" i="32"/>
  <c r="P80" i="32"/>
  <c r="Q80" i="32" s="1"/>
  <c r="R80" i="32" s="1"/>
  <c r="T80" i="32"/>
  <c r="J81" i="32"/>
  <c r="P81" i="32"/>
  <c r="Q81" i="32"/>
  <c r="R81" i="32" s="1"/>
  <c r="T81" i="32"/>
  <c r="J82" i="32"/>
  <c r="P82" i="32"/>
  <c r="Q82" i="32" s="1"/>
  <c r="R82" i="32" s="1"/>
  <c r="T82" i="32"/>
  <c r="J83" i="32"/>
  <c r="P83" i="32"/>
  <c r="Q83" i="32" s="1"/>
  <c r="R83" i="32" s="1"/>
  <c r="T83" i="32"/>
  <c r="J84" i="32"/>
  <c r="P84" i="32"/>
  <c r="Q84" i="32" s="1"/>
  <c r="R84" i="32" s="1"/>
  <c r="J85" i="32"/>
  <c r="P85" i="32"/>
  <c r="Q85" i="32" s="1"/>
  <c r="R85" i="32"/>
  <c r="T85" i="32"/>
  <c r="J86" i="32"/>
  <c r="P86" i="32"/>
  <c r="Q86" i="32" s="1"/>
  <c r="R86" i="32" s="1"/>
  <c r="T86" i="32"/>
  <c r="J87" i="32"/>
  <c r="P87" i="32"/>
  <c r="Q87" i="32"/>
  <c r="R87" i="32" s="1"/>
  <c r="T87" i="32"/>
  <c r="J88" i="32"/>
  <c r="P88" i="32"/>
  <c r="Q88" i="32" s="1"/>
  <c r="R88" i="32" s="1"/>
  <c r="T88" i="32"/>
  <c r="J89" i="32"/>
  <c r="P89" i="32"/>
  <c r="Q89" i="32" s="1"/>
  <c r="R89" i="32" s="1"/>
  <c r="T89" i="32"/>
  <c r="J90" i="32"/>
  <c r="P90" i="32"/>
  <c r="Q90" i="32" s="1"/>
  <c r="R90" i="32" s="1"/>
  <c r="T90" i="32"/>
  <c r="J91" i="32"/>
  <c r="P91" i="32"/>
  <c r="Q91" i="32" s="1"/>
  <c r="R91" i="32"/>
  <c r="T91" i="32"/>
  <c r="J92" i="32"/>
  <c r="P92" i="32"/>
  <c r="Q92" i="32" s="1"/>
  <c r="R92" i="32"/>
  <c r="T92" i="32"/>
  <c r="J93" i="32"/>
  <c r="P93" i="32"/>
  <c r="Q93" i="32" s="1"/>
  <c r="R93" i="32" s="1"/>
  <c r="T93" i="32"/>
  <c r="J94" i="32"/>
  <c r="P94" i="32"/>
  <c r="Q94" i="32" s="1"/>
  <c r="R94" i="32" s="1"/>
  <c r="T94" i="32"/>
  <c r="J95" i="32"/>
  <c r="P95" i="32"/>
  <c r="Q95" i="32" s="1"/>
  <c r="R95" i="32"/>
  <c r="T95" i="32"/>
  <c r="J96" i="32"/>
  <c r="P96" i="32"/>
  <c r="Q96" i="32"/>
  <c r="R96" i="32" s="1"/>
  <c r="J97" i="32"/>
  <c r="P97" i="32"/>
  <c r="Q97" i="32" s="1"/>
  <c r="R97" i="32" s="1"/>
  <c r="T97" i="32"/>
  <c r="J98" i="32"/>
  <c r="P98" i="32"/>
  <c r="Q98" i="32" s="1"/>
  <c r="R98" i="32"/>
  <c r="T98" i="32"/>
  <c r="J99" i="32"/>
  <c r="P99" i="32"/>
  <c r="Q99" i="32" s="1"/>
  <c r="R99" i="32" s="1"/>
  <c r="T99" i="32"/>
  <c r="J100" i="32"/>
  <c r="P100" i="32"/>
  <c r="Q100" i="32" s="1"/>
  <c r="R100" i="32" s="1"/>
  <c r="T100" i="32"/>
  <c r="J101" i="32"/>
  <c r="P101" i="32"/>
  <c r="Q101" i="32" s="1"/>
  <c r="R101" i="32" s="1"/>
  <c r="T101" i="32"/>
  <c r="J102" i="32"/>
  <c r="P102" i="32"/>
  <c r="Q102" i="32"/>
  <c r="R102" i="32" s="1"/>
  <c r="T102" i="32"/>
  <c r="J103" i="32"/>
  <c r="P103" i="32"/>
  <c r="Q103" i="32" s="1"/>
  <c r="R103" i="32" s="1"/>
  <c r="T103" i="32"/>
  <c r="J104" i="32"/>
  <c r="P104" i="32"/>
  <c r="Q104" i="32" s="1"/>
  <c r="R104" i="32" s="1"/>
  <c r="T104" i="32"/>
  <c r="J105" i="32"/>
  <c r="P105" i="32"/>
  <c r="Q105" i="32" s="1"/>
  <c r="R105" i="32" s="1"/>
  <c r="T105" i="32"/>
  <c r="J106" i="32"/>
  <c r="P106" i="32"/>
  <c r="Q106" i="32"/>
  <c r="R106" i="32" s="1"/>
  <c r="T106" i="32"/>
  <c r="J107" i="32"/>
  <c r="P107" i="32"/>
  <c r="Q107" i="32" s="1"/>
  <c r="R107" i="32" s="1"/>
  <c r="T107" i="32"/>
  <c r="J108" i="32"/>
  <c r="P108" i="32"/>
  <c r="Q108" i="32" s="1"/>
  <c r="R108" i="32" s="1"/>
  <c r="J109" i="32"/>
  <c r="P109" i="32"/>
  <c r="Q109" i="32"/>
  <c r="R109" i="32"/>
  <c r="T109" i="32"/>
  <c r="J110" i="32"/>
  <c r="P110" i="32"/>
  <c r="Q110" i="32" s="1"/>
  <c r="R110" i="32" s="1"/>
  <c r="T110" i="32"/>
  <c r="J111" i="32"/>
  <c r="P111" i="32"/>
  <c r="Q111" i="32" s="1"/>
  <c r="R111" i="32" s="1"/>
  <c r="T111" i="32"/>
  <c r="J112" i="32"/>
  <c r="P112" i="32"/>
  <c r="Q112" i="32"/>
  <c r="R112" i="32"/>
  <c r="T112" i="32"/>
  <c r="J113" i="32"/>
  <c r="P113" i="32"/>
  <c r="Q113" i="32" s="1"/>
  <c r="R113" i="32" s="1"/>
  <c r="T113" i="32"/>
  <c r="J114" i="32"/>
  <c r="P114" i="32"/>
  <c r="Q114" i="32" s="1"/>
  <c r="R114" i="32" s="1"/>
  <c r="T114" i="32"/>
  <c r="J115" i="32"/>
  <c r="P115" i="32"/>
  <c r="Q115" i="32" s="1"/>
  <c r="R115" i="32" s="1"/>
  <c r="T115" i="32"/>
  <c r="J116" i="32"/>
  <c r="P116" i="32"/>
  <c r="Q116" i="32" s="1"/>
  <c r="R116" i="32" s="1"/>
  <c r="T116" i="32"/>
  <c r="J117" i="32"/>
  <c r="P117" i="32"/>
  <c r="Q117" i="32" s="1"/>
  <c r="R117" i="32" s="1"/>
  <c r="T117" i="32"/>
  <c r="J118" i="32"/>
  <c r="P118" i="32"/>
  <c r="Q118" i="32" s="1"/>
  <c r="R118" i="32" s="1"/>
  <c r="T118" i="32"/>
  <c r="J119" i="32"/>
  <c r="P119" i="32"/>
  <c r="Q119" i="32" s="1"/>
  <c r="R119" i="32" s="1"/>
  <c r="T119" i="32"/>
  <c r="J120" i="32"/>
  <c r="P120" i="32"/>
  <c r="Q120" i="32" s="1"/>
  <c r="R120" i="32" s="1"/>
  <c r="J121" i="32"/>
  <c r="P121" i="32"/>
  <c r="Q121" i="32" s="1"/>
  <c r="R121" i="32" s="1"/>
  <c r="T121" i="32"/>
  <c r="J122" i="32"/>
  <c r="P122" i="32"/>
  <c r="Q122" i="32" s="1"/>
  <c r="R122" i="32" s="1"/>
  <c r="T122" i="32"/>
  <c r="J123" i="32"/>
  <c r="P123" i="32"/>
  <c r="Q123" i="32" s="1"/>
  <c r="R123" i="32" s="1"/>
  <c r="T123" i="32"/>
  <c r="J124" i="32"/>
  <c r="P124" i="32"/>
  <c r="Q124" i="32" s="1"/>
  <c r="R124" i="32" s="1"/>
  <c r="T124" i="32"/>
  <c r="J125" i="32"/>
  <c r="P125" i="32"/>
  <c r="Q125" i="32" s="1"/>
  <c r="R125" i="32" s="1"/>
  <c r="T125" i="32"/>
  <c r="J126" i="32"/>
  <c r="P126" i="32"/>
  <c r="Q126" i="32" s="1"/>
  <c r="R126" i="32" s="1"/>
  <c r="T126" i="32"/>
  <c r="J127" i="32"/>
  <c r="P127" i="32"/>
  <c r="Q127" i="32" s="1"/>
  <c r="R127" i="32"/>
  <c r="T127" i="32"/>
  <c r="J128" i="32"/>
  <c r="P128" i="32"/>
  <c r="Q128" i="32" s="1"/>
  <c r="R128" i="32" s="1"/>
  <c r="T128" i="32"/>
  <c r="J129" i="32"/>
  <c r="P129" i="32"/>
  <c r="Q129" i="32" s="1"/>
  <c r="R129" i="32"/>
  <c r="T129" i="32"/>
  <c r="J130" i="32"/>
  <c r="P130" i="32"/>
  <c r="Q130" i="32" s="1"/>
  <c r="R130" i="32" s="1"/>
  <c r="T130" i="32"/>
  <c r="J131" i="32"/>
  <c r="P131" i="32"/>
  <c r="Q131" i="32" s="1"/>
  <c r="R131" i="32" s="1"/>
  <c r="T131" i="32"/>
  <c r="J132" i="32"/>
  <c r="P132" i="32"/>
  <c r="Q132" i="32" s="1"/>
  <c r="R132" i="32" s="1"/>
  <c r="J133" i="32"/>
  <c r="P133" i="32"/>
  <c r="Q133" i="32" s="1"/>
  <c r="R133" i="32"/>
  <c r="T133" i="32"/>
  <c r="J134" i="32"/>
  <c r="L134" i="32"/>
  <c r="P134" i="32"/>
  <c r="Q134" i="32" s="1"/>
  <c r="R134" i="32" s="1"/>
  <c r="T134" i="32"/>
  <c r="J135" i="32"/>
  <c r="P135" i="32"/>
  <c r="Q135" i="32" s="1"/>
  <c r="R135" i="32" s="1"/>
  <c r="T135" i="32"/>
  <c r="J136" i="32"/>
  <c r="P136" i="32"/>
  <c r="Q136" i="32" s="1"/>
  <c r="R136" i="32"/>
  <c r="T136" i="32"/>
  <c r="J137" i="32"/>
  <c r="P137" i="32"/>
  <c r="Q137" i="32"/>
  <c r="R137" i="32" s="1"/>
  <c r="T137" i="32"/>
  <c r="J138" i="32"/>
  <c r="P138" i="32"/>
  <c r="Q138" i="32" s="1"/>
  <c r="R138" i="32" s="1"/>
  <c r="T138" i="32"/>
  <c r="J139" i="32"/>
  <c r="P139" i="32"/>
  <c r="Q139" i="32" s="1"/>
  <c r="R139" i="32" s="1"/>
  <c r="T139" i="32"/>
  <c r="J140" i="32"/>
  <c r="P140" i="32"/>
  <c r="Q140" i="32"/>
  <c r="R140" i="32" s="1"/>
  <c r="T140" i="32"/>
  <c r="J141" i="32"/>
  <c r="P141" i="32"/>
  <c r="Q141" i="32"/>
  <c r="R141" i="32"/>
  <c r="T141" i="32"/>
  <c r="J142" i="32"/>
  <c r="P142" i="32"/>
  <c r="Q142" i="32" s="1"/>
  <c r="R142" i="32" s="1"/>
  <c r="T142" i="32"/>
  <c r="J143" i="32"/>
  <c r="P143" i="32"/>
  <c r="Q143" i="32"/>
  <c r="R143" i="32" s="1"/>
  <c r="T143" i="32"/>
  <c r="J144" i="32"/>
  <c r="P144" i="32"/>
  <c r="Q144" i="32"/>
  <c r="R144" i="32"/>
  <c r="J145" i="32"/>
  <c r="P145" i="32"/>
  <c r="Q145" i="32" s="1"/>
  <c r="R145" i="32" s="1"/>
  <c r="T145" i="32"/>
  <c r="J146" i="32"/>
  <c r="P146" i="32"/>
  <c r="Q146" i="32"/>
  <c r="R146" i="32" s="1"/>
  <c r="T146" i="32"/>
  <c r="J147" i="32"/>
  <c r="P147" i="32"/>
  <c r="Q147" i="32"/>
  <c r="R147" i="32"/>
  <c r="T147" i="32"/>
  <c r="J148" i="32"/>
  <c r="P148" i="32"/>
  <c r="Q148" i="32" s="1"/>
  <c r="R148" i="32" s="1"/>
  <c r="T148" i="32"/>
  <c r="J149" i="32"/>
  <c r="P149" i="32"/>
  <c r="Q149" i="32" s="1"/>
  <c r="R149" i="32" s="1"/>
  <c r="T149" i="32"/>
  <c r="J150" i="32"/>
  <c r="P150" i="32"/>
  <c r="Q150" i="32" s="1"/>
  <c r="R150" i="32" s="1"/>
  <c r="T150" i="32"/>
  <c r="J151" i="32"/>
  <c r="P151" i="32"/>
  <c r="Q151" i="32" s="1"/>
  <c r="R151" i="32" s="1"/>
  <c r="T151" i="32"/>
  <c r="J152" i="32"/>
  <c r="P152" i="32"/>
  <c r="Q152" i="32" s="1"/>
  <c r="R152" i="32" s="1"/>
  <c r="T152" i="32"/>
  <c r="J153" i="32"/>
  <c r="P153" i="32"/>
  <c r="Q153" i="32" s="1"/>
  <c r="R153" i="32" s="1"/>
  <c r="T153" i="32"/>
  <c r="J154" i="32"/>
  <c r="P154" i="32"/>
  <c r="Q154" i="32" s="1"/>
  <c r="R154" i="32" s="1"/>
  <c r="T154" i="32"/>
  <c r="J155" i="32"/>
  <c r="P155" i="32"/>
  <c r="Q155" i="32" s="1"/>
  <c r="R155" i="32" s="1"/>
  <c r="T155" i="32"/>
  <c r="J156" i="32"/>
  <c r="P156" i="32"/>
  <c r="Q156" i="32" s="1"/>
  <c r="R156" i="32" s="1"/>
  <c r="J157" i="32"/>
  <c r="P157" i="32"/>
  <c r="Q157" i="32" s="1"/>
  <c r="R157" i="32" s="1"/>
  <c r="T157" i="32"/>
  <c r="J158" i="32"/>
  <c r="P158" i="32"/>
  <c r="Q158" i="32"/>
  <c r="R158" i="32" s="1"/>
  <c r="T158" i="32"/>
  <c r="J159" i="32"/>
  <c r="P159" i="32"/>
  <c r="Q159" i="32" s="1"/>
  <c r="R159" i="32" s="1"/>
  <c r="T159" i="32"/>
  <c r="J160" i="32"/>
  <c r="P160" i="32"/>
  <c r="Q160" i="32" s="1"/>
  <c r="R160" i="32" s="1"/>
  <c r="T160" i="32"/>
  <c r="J161" i="32"/>
  <c r="L161" i="32"/>
  <c r="P161" i="32"/>
  <c r="Q161" i="32" s="1"/>
  <c r="R161" i="32" s="1"/>
  <c r="T161" i="32"/>
  <c r="J162" i="32"/>
  <c r="P162" i="32"/>
  <c r="Q162" i="32" s="1"/>
  <c r="R162" i="32"/>
  <c r="T162" i="32"/>
  <c r="J163" i="32"/>
  <c r="P163" i="32"/>
  <c r="Q163" i="32" s="1"/>
  <c r="R163" i="32"/>
  <c r="T163" i="32"/>
  <c r="J164" i="32"/>
  <c r="P164" i="32"/>
  <c r="Q164" i="32"/>
  <c r="R164" i="32" s="1"/>
  <c r="T164" i="32"/>
  <c r="J165" i="32"/>
  <c r="P165" i="32"/>
  <c r="Q165" i="32" s="1"/>
  <c r="R165" i="32" s="1"/>
  <c r="T165" i="32"/>
  <c r="J166" i="32"/>
  <c r="P166" i="32"/>
  <c r="Q166" i="32" s="1"/>
  <c r="R166" i="32" s="1"/>
  <c r="T166" i="32"/>
  <c r="J167" i="32"/>
  <c r="P167" i="32"/>
  <c r="Q167" i="32"/>
  <c r="R167" i="32" s="1"/>
  <c r="T167" i="32"/>
  <c r="J168" i="32"/>
  <c r="P168" i="32"/>
  <c r="Q168" i="32" s="1"/>
  <c r="R168" i="32"/>
  <c r="J169" i="32"/>
  <c r="P169" i="32"/>
  <c r="Q169" i="32" s="1"/>
  <c r="R169" i="32" s="1"/>
  <c r="T169" i="32"/>
  <c r="J170" i="32"/>
  <c r="O170" i="32"/>
  <c r="P170" i="32"/>
  <c r="Q170" i="32"/>
  <c r="R170" i="32" s="1"/>
  <c r="T170" i="32"/>
  <c r="I171" i="32"/>
  <c r="J171" i="32"/>
  <c r="P171" i="32"/>
  <c r="Q171" i="32"/>
  <c r="R171" i="32" s="1"/>
  <c r="T171" i="32"/>
  <c r="J172" i="32"/>
  <c r="P172" i="32"/>
  <c r="Q172" i="32" s="1"/>
  <c r="R172" i="32" s="1"/>
  <c r="T172" i="32"/>
  <c r="J173" i="32"/>
  <c r="M173" i="32"/>
  <c r="O173" i="32" s="1"/>
  <c r="S173" i="32" s="1"/>
  <c r="P173" i="32"/>
  <c r="Q173" i="32"/>
  <c r="R173" i="32"/>
  <c r="T173" i="32"/>
  <c r="J174" i="32"/>
  <c r="P174" i="32"/>
  <c r="Q174" i="32"/>
  <c r="R174" i="32" s="1"/>
  <c r="T174" i="32"/>
  <c r="J175" i="32"/>
  <c r="P175" i="32"/>
  <c r="Q175" i="32" s="1"/>
  <c r="R175" i="32" s="1"/>
  <c r="T175" i="32"/>
  <c r="J176" i="32"/>
  <c r="K176" i="32"/>
  <c r="P176" i="32"/>
  <c r="Q176" i="32"/>
  <c r="R176" i="32" s="1"/>
  <c r="T176" i="32"/>
  <c r="J177" i="32"/>
  <c r="P177" i="32"/>
  <c r="Q177" i="32"/>
  <c r="R177" i="32" s="1"/>
  <c r="T177" i="32"/>
  <c r="J178" i="32"/>
  <c r="M178" i="32"/>
  <c r="O178" i="32" s="1"/>
  <c r="P178" i="32"/>
  <c r="Q178" i="32" s="1"/>
  <c r="R178" i="32" s="1"/>
  <c r="T178" i="32"/>
  <c r="J179" i="32"/>
  <c r="P179" i="32"/>
  <c r="Q179" i="32" s="1"/>
  <c r="R179" i="32" s="1"/>
  <c r="T179" i="32"/>
  <c r="A15" i="32"/>
  <c r="B15" i="32"/>
  <c r="C15" i="32"/>
  <c r="D15" i="32"/>
  <c r="E15" i="32"/>
  <c r="F15" i="32"/>
  <c r="G15" i="32"/>
  <c r="A16" i="32"/>
  <c r="B16" i="32"/>
  <c r="C16" i="32"/>
  <c r="D16" i="32"/>
  <c r="E16" i="32"/>
  <c r="F16" i="32"/>
  <c r="G16" i="32"/>
  <c r="A17" i="32"/>
  <c r="B17" i="32"/>
  <c r="C17" i="32"/>
  <c r="D17" i="32"/>
  <c r="E17" i="32"/>
  <c r="F17" i="32"/>
  <c r="G17" i="32"/>
  <c r="A18" i="32"/>
  <c r="B18" i="32"/>
  <c r="C18" i="32"/>
  <c r="D18" i="32"/>
  <c r="E18" i="32"/>
  <c r="F18" i="32"/>
  <c r="G18" i="32"/>
  <c r="A19" i="32"/>
  <c r="B19" i="32"/>
  <c r="C19" i="32"/>
  <c r="D19" i="32"/>
  <c r="E19" i="32"/>
  <c r="F19" i="32"/>
  <c r="G19" i="32"/>
  <c r="A20" i="32"/>
  <c r="B20" i="32"/>
  <c r="C20" i="32"/>
  <c r="D20" i="32"/>
  <c r="E20" i="32"/>
  <c r="F20" i="32"/>
  <c r="G20" i="32"/>
  <c r="A21" i="32"/>
  <c r="B21" i="32"/>
  <c r="C21" i="32"/>
  <c r="D21" i="32"/>
  <c r="E21" i="32"/>
  <c r="F21" i="32"/>
  <c r="G21" i="32"/>
  <c r="A22" i="32"/>
  <c r="B22" i="32"/>
  <c r="C22" i="32"/>
  <c r="D22" i="32"/>
  <c r="E22" i="32"/>
  <c r="F22" i="32"/>
  <c r="G22" i="32"/>
  <c r="A23" i="32"/>
  <c r="B23" i="32"/>
  <c r="C23" i="32"/>
  <c r="D23" i="32"/>
  <c r="E23" i="32"/>
  <c r="F23" i="32"/>
  <c r="G23" i="32"/>
  <c r="A24" i="32"/>
  <c r="B24" i="32"/>
  <c r="C24" i="32"/>
  <c r="D24" i="32"/>
  <c r="E24" i="32"/>
  <c r="F24" i="32"/>
  <c r="G24" i="32"/>
  <c r="A25" i="32"/>
  <c r="B25" i="32"/>
  <c r="C25" i="32"/>
  <c r="D25" i="32"/>
  <c r="E25" i="32"/>
  <c r="F25" i="32"/>
  <c r="G25" i="32"/>
  <c r="A26" i="32"/>
  <c r="B26" i="32"/>
  <c r="C26" i="32"/>
  <c r="D26" i="32"/>
  <c r="E26" i="32"/>
  <c r="F26" i="32"/>
  <c r="G26" i="32"/>
  <c r="A27" i="32"/>
  <c r="B27" i="32"/>
  <c r="C27" i="32"/>
  <c r="D27" i="32"/>
  <c r="E27" i="32"/>
  <c r="F27" i="32"/>
  <c r="G27" i="32"/>
  <c r="A28" i="32"/>
  <c r="B28" i="32"/>
  <c r="C28" i="32"/>
  <c r="D28" i="32"/>
  <c r="E28" i="32"/>
  <c r="F28" i="32"/>
  <c r="G28" i="32"/>
  <c r="A29" i="32"/>
  <c r="B29" i="32"/>
  <c r="C29" i="32"/>
  <c r="D29" i="32"/>
  <c r="E29" i="32"/>
  <c r="F29" i="32"/>
  <c r="G29" i="32"/>
  <c r="A30" i="32"/>
  <c r="B30" i="32"/>
  <c r="C30" i="32"/>
  <c r="D30" i="32"/>
  <c r="E30" i="32"/>
  <c r="F30" i="32"/>
  <c r="G30" i="32"/>
  <c r="A31" i="32"/>
  <c r="B31" i="32"/>
  <c r="C31" i="32"/>
  <c r="D31" i="32"/>
  <c r="E31" i="32"/>
  <c r="F31" i="32"/>
  <c r="G31" i="32"/>
  <c r="A32" i="32"/>
  <c r="B32" i="32"/>
  <c r="C32" i="32"/>
  <c r="D32" i="32"/>
  <c r="E32" i="32"/>
  <c r="F32" i="32"/>
  <c r="G32" i="32"/>
  <c r="A33" i="32"/>
  <c r="B33" i="32"/>
  <c r="C33" i="32"/>
  <c r="D33" i="32"/>
  <c r="E33" i="32"/>
  <c r="F33" i="32"/>
  <c r="G33" i="32"/>
  <c r="A34" i="32"/>
  <c r="B34" i="32"/>
  <c r="C34" i="32"/>
  <c r="D34" i="32"/>
  <c r="E34" i="32"/>
  <c r="F34" i="32"/>
  <c r="G34" i="32"/>
  <c r="A35" i="32"/>
  <c r="B35" i="32"/>
  <c r="C35" i="32"/>
  <c r="D35" i="32"/>
  <c r="E35" i="32"/>
  <c r="F35" i="32"/>
  <c r="G35" i="32"/>
  <c r="A36" i="32"/>
  <c r="B36" i="32"/>
  <c r="C36" i="32"/>
  <c r="D36" i="32"/>
  <c r="E36" i="32"/>
  <c r="F36" i="32"/>
  <c r="G36" i="32"/>
  <c r="A37" i="32"/>
  <c r="B37" i="32"/>
  <c r="C37" i="32"/>
  <c r="D37" i="32"/>
  <c r="E37" i="32"/>
  <c r="F37" i="32"/>
  <c r="G37" i="32"/>
  <c r="A38" i="32"/>
  <c r="B38" i="32"/>
  <c r="C38" i="32"/>
  <c r="D38" i="32"/>
  <c r="E38" i="32"/>
  <c r="F38" i="32"/>
  <c r="G38" i="32"/>
  <c r="A39" i="32"/>
  <c r="B39" i="32"/>
  <c r="C39" i="32"/>
  <c r="D39" i="32"/>
  <c r="E39" i="32"/>
  <c r="F39" i="32"/>
  <c r="G39" i="32"/>
  <c r="A40" i="32"/>
  <c r="B40" i="32"/>
  <c r="C40" i="32"/>
  <c r="D40" i="32"/>
  <c r="E40" i="32"/>
  <c r="F40" i="32"/>
  <c r="G40" i="32"/>
  <c r="A41" i="32"/>
  <c r="B41" i="32"/>
  <c r="C41" i="32"/>
  <c r="D41" i="32"/>
  <c r="E41" i="32"/>
  <c r="F41" i="32"/>
  <c r="G41" i="32"/>
  <c r="A42" i="32"/>
  <c r="B42" i="32"/>
  <c r="C42" i="32"/>
  <c r="D42" i="32"/>
  <c r="E42" i="32"/>
  <c r="F42" i="32"/>
  <c r="G42" i="32"/>
  <c r="A43" i="32"/>
  <c r="B43" i="32"/>
  <c r="C43" i="32"/>
  <c r="D43" i="32"/>
  <c r="E43" i="32"/>
  <c r="F43" i="32"/>
  <c r="G43" i="32"/>
  <c r="A44" i="32"/>
  <c r="B44" i="32"/>
  <c r="C44" i="32"/>
  <c r="D44" i="32"/>
  <c r="E44" i="32"/>
  <c r="F44" i="32"/>
  <c r="G44" i="32"/>
  <c r="A45" i="32"/>
  <c r="B45" i="32"/>
  <c r="C45" i="32"/>
  <c r="D45" i="32"/>
  <c r="E45" i="32"/>
  <c r="F45" i="32"/>
  <c r="G45" i="32"/>
  <c r="A46" i="32"/>
  <c r="B46" i="32"/>
  <c r="C46" i="32"/>
  <c r="D46" i="32"/>
  <c r="E46" i="32"/>
  <c r="F46" i="32"/>
  <c r="G46" i="32"/>
  <c r="A47" i="32"/>
  <c r="B47" i="32"/>
  <c r="C47" i="32"/>
  <c r="D47" i="32"/>
  <c r="E47" i="32"/>
  <c r="F47" i="32"/>
  <c r="G47" i="32"/>
  <c r="A48" i="32"/>
  <c r="B48" i="32"/>
  <c r="C48" i="32"/>
  <c r="D48" i="32"/>
  <c r="E48" i="32"/>
  <c r="F48" i="32"/>
  <c r="G48" i="32"/>
  <c r="A49" i="32"/>
  <c r="B49" i="32"/>
  <c r="C49" i="32"/>
  <c r="D49" i="32"/>
  <c r="E49" i="32"/>
  <c r="F49" i="32"/>
  <c r="G49" i="32"/>
  <c r="A50" i="32"/>
  <c r="B50" i="32"/>
  <c r="C50" i="32"/>
  <c r="D50" i="32"/>
  <c r="E50" i="32"/>
  <c r="F50" i="32"/>
  <c r="G50" i="32"/>
  <c r="A51" i="32"/>
  <c r="B51" i="32"/>
  <c r="C51" i="32"/>
  <c r="D51" i="32"/>
  <c r="E51" i="32"/>
  <c r="F51" i="32"/>
  <c r="G51" i="32"/>
  <c r="A52" i="32"/>
  <c r="B52" i="32"/>
  <c r="C52" i="32"/>
  <c r="D52" i="32"/>
  <c r="E52" i="32"/>
  <c r="F52" i="32"/>
  <c r="G52" i="32"/>
  <c r="A53" i="32"/>
  <c r="B53" i="32"/>
  <c r="C53" i="32"/>
  <c r="D53" i="32"/>
  <c r="E53" i="32"/>
  <c r="F53" i="32"/>
  <c r="G53" i="32"/>
  <c r="A54" i="32"/>
  <c r="B54" i="32"/>
  <c r="C54" i="32"/>
  <c r="D54" i="32"/>
  <c r="E54" i="32"/>
  <c r="F54" i="32"/>
  <c r="G54" i="32"/>
  <c r="A55" i="32"/>
  <c r="B55" i="32"/>
  <c r="C55" i="32"/>
  <c r="D55" i="32"/>
  <c r="E55" i="32"/>
  <c r="F55" i="32"/>
  <c r="G55" i="32"/>
  <c r="A56" i="32"/>
  <c r="B56" i="32"/>
  <c r="C56" i="32"/>
  <c r="D56" i="32"/>
  <c r="E56" i="32"/>
  <c r="F56" i="32"/>
  <c r="G56" i="32"/>
  <c r="A57" i="32"/>
  <c r="B57" i="32"/>
  <c r="C57" i="32"/>
  <c r="D57" i="32"/>
  <c r="E57" i="32"/>
  <c r="F57" i="32"/>
  <c r="G57" i="32"/>
  <c r="A58" i="32"/>
  <c r="B58" i="32"/>
  <c r="C58" i="32"/>
  <c r="D58" i="32"/>
  <c r="E58" i="32"/>
  <c r="F58" i="32"/>
  <c r="G58" i="32"/>
  <c r="A59" i="32"/>
  <c r="B59" i="32"/>
  <c r="C59" i="32"/>
  <c r="D59" i="32"/>
  <c r="E59" i="32"/>
  <c r="F59" i="32"/>
  <c r="G59" i="32"/>
  <c r="A60" i="32"/>
  <c r="B60" i="32"/>
  <c r="C60" i="32"/>
  <c r="D60" i="32"/>
  <c r="E60" i="32"/>
  <c r="F60" i="32"/>
  <c r="G60" i="32"/>
  <c r="A61" i="32"/>
  <c r="B61" i="32"/>
  <c r="C61" i="32"/>
  <c r="D61" i="32"/>
  <c r="E61" i="32"/>
  <c r="F61" i="32"/>
  <c r="G61" i="32"/>
  <c r="A62" i="32"/>
  <c r="B62" i="32"/>
  <c r="C62" i="32"/>
  <c r="D62" i="32"/>
  <c r="E62" i="32"/>
  <c r="F62" i="32"/>
  <c r="G62" i="32"/>
  <c r="A63" i="32"/>
  <c r="B63" i="32"/>
  <c r="C63" i="32"/>
  <c r="D63" i="32"/>
  <c r="E63" i="32"/>
  <c r="F63" i="32"/>
  <c r="G63" i="32"/>
  <c r="A64" i="32"/>
  <c r="B64" i="32"/>
  <c r="C64" i="32"/>
  <c r="D64" i="32"/>
  <c r="E64" i="32"/>
  <c r="F64" i="32"/>
  <c r="G64" i="32"/>
  <c r="A65" i="32"/>
  <c r="B65" i="32"/>
  <c r="C65" i="32"/>
  <c r="D65" i="32"/>
  <c r="E65" i="32"/>
  <c r="F65" i="32"/>
  <c r="G65" i="32"/>
  <c r="A66" i="32"/>
  <c r="B66" i="32"/>
  <c r="C66" i="32"/>
  <c r="D66" i="32"/>
  <c r="E66" i="32"/>
  <c r="F66" i="32"/>
  <c r="G66" i="32"/>
  <c r="A67" i="32"/>
  <c r="B67" i="32"/>
  <c r="C67" i="32"/>
  <c r="D67" i="32"/>
  <c r="E67" i="32"/>
  <c r="F67" i="32"/>
  <c r="G67" i="32"/>
  <c r="A68" i="32"/>
  <c r="B68" i="32"/>
  <c r="C68" i="32"/>
  <c r="D68" i="32"/>
  <c r="E68" i="32"/>
  <c r="F68" i="32"/>
  <c r="G68" i="32"/>
  <c r="A69" i="32"/>
  <c r="B69" i="32"/>
  <c r="C69" i="32"/>
  <c r="D69" i="32"/>
  <c r="E69" i="32"/>
  <c r="F69" i="32"/>
  <c r="G69" i="32"/>
  <c r="A70" i="32"/>
  <c r="B70" i="32"/>
  <c r="C70" i="32"/>
  <c r="D70" i="32"/>
  <c r="E70" i="32"/>
  <c r="F70" i="32"/>
  <c r="G70" i="32"/>
  <c r="A71" i="32"/>
  <c r="B71" i="32"/>
  <c r="C71" i="32"/>
  <c r="D71" i="32"/>
  <c r="E71" i="32"/>
  <c r="F71" i="32"/>
  <c r="G71" i="32"/>
  <c r="A72" i="32"/>
  <c r="B72" i="32"/>
  <c r="C72" i="32"/>
  <c r="D72" i="32"/>
  <c r="E72" i="32"/>
  <c r="F72" i="32"/>
  <c r="G72" i="32"/>
  <c r="A73" i="32"/>
  <c r="B73" i="32"/>
  <c r="C73" i="32"/>
  <c r="D73" i="32"/>
  <c r="E73" i="32"/>
  <c r="F73" i="32"/>
  <c r="G73" i="32"/>
  <c r="A74" i="32"/>
  <c r="B74" i="32"/>
  <c r="C74" i="32"/>
  <c r="D74" i="32"/>
  <c r="E74" i="32"/>
  <c r="F74" i="32"/>
  <c r="G74" i="32"/>
  <c r="A75" i="32"/>
  <c r="B75" i="32"/>
  <c r="C75" i="32"/>
  <c r="D75" i="32"/>
  <c r="E75" i="32"/>
  <c r="F75" i="32"/>
  <c r="G75" i="32"/>
  <c r="A76" i="32"/>
  <c r="B76" i="32"/>
  <c r="C76" i="32"/>
  <c r="D76" i="32"/>
  <c r="E76" i="32"/>
  <c r="F76" i="32"/>
  <c r="G76" i="32"/>
  <c r="A77" i="32"/>
  <c r="B77" i="32"/>
  <c r="C77" i="32"/>
  <c r="D77" i="32"/>
  <c r="E77" i="32"/>
  <c r="F77" i="32"/>
  <c r="G77" i="32"/>
  <c r="A78" i="32"/>
  <c r="B78" i="32"/>
  <c r="C78" i="32"/>
  <c r="D78" i="32"/>
  <c r="E78" i="32"/>
  <c r="F78" i="32"/>
  <c r="G78" i="32"/>
  <c r="A79" i="32"/>
  <c r="B79" i="32"/>
  <c r="C79" i="32"/>
  <c r="D79" i="32"/>
  <c r="E79" i="32"/>
  <c r="F79" i="32"/>
  <c r="G79" i="32"/>
  <c r="A80" i="32"/>
  <c r="B80" i="32"/>
  <c r="C80" i="32"/>
  <c r="D80" i="32"/>
  <c r="E80" i="32"/>
  <c r="F80" i="32"/>
  <c r="G80" i="32"/>
  <c r="A81" i="32"/>
  <c r="B81" i="32"/>
  <c r="C81" i="32"/>
  <c r="D81" i="32"/>
  <c r="E81" i="32"/>
  <c r="F81" i="32"/>
  <c r="G81" i="32"/>
  <c r="A82" i="32"/>
  <c r="B82" i="32"/>
  <c r="C82" i="32"/>
  <c r="D82" i="32"/>
  <c r="E82" i="32"/>
  <c r="F82" i="32"/>
  <c r="G82" i="32"/>
  <c r="A83" i="32"/>
  <c r="B83" i="32"/>
  <c r="C83" i="32"/>
  <c r="D83" i="32"/>
  <c r="E83" i="32"/>
  <c r="F83" i="32"/>
  <c r="G83" i="32"/>
  <c r="A84" i="32"/>
  <c r="B84" i="32"/>
  <c r="C84" i="32"/>
  <c r="D84" i="32"/>
  <c r="E84" i="32"/>
  <c r="F84" i="32"/>
  <c r="G84" i="32"/>
  <c r="A85" i="32"/>
  <c r="B85" i="32"/>
  <c r="C85" i="32"/>
  <c r="D85" i="32"/>
  <c r="E85" i="32"/>
  <c r="F85" i="32"/>
  <c r="G85" i="32"/>
  <c r="A86" i="32"/>
  <c r="B86" i="32"/>
  <c r="C86" i="32"/>
  <c r="D86" i="32"/>
  <c r="E86" i="32"/>
  <c r="F86" i="32"/>
  <c r="G86" i="32"/>
  <c r="A87" i="32"/>
  <c r="B87" i="32"/>
  <c r="C87" i="32"/>
  <c r="D87" i="32"/>
  <c r="E87" i="32"/>
  <c r="F87" i="32"/>
  <c r="G87" i="32"/>
  <c r="A88" i="32"/>
  <c r="B88" i="32"/>
  <c r="C88" i="32"/>
  <c r="D88" i="32"/>
  <c r="E88" i="32"/>
  <c r="F88" i="32"/>
  <c r="G88" i="32"/>
  <c r="A89" i="32"/>
  <c r="B89" i="32"/>
  <c r="C89" i="32"/>
  <c r="D89" i="32"/>
  <c r="E89" i="32"/>
  <c r="F89" i="32"/>
  <c r="G89" i="32"/>
  <c r="A90" i="32"/>
  <c r="B90" i="32"/>
  <c r="C90" i="32"/>
  <c r="D90" i="32"/>
  <c r="E90" i="32"/>
  <c r="F90" i="32"/>
  <c r="G90" i="32"/>
  <c r="A91" i="32"/>
  <c r="B91" i="32"/>
  <c r="C91" i="32"/>
  <c r="D91" i="32"/>
  <c r="E91" i="32"/>
  <c r="F91" i="32"/>
  <c r="G91" i="32"/>
  <c r="A92" i="32"/>
  <c r="B92" i="32"/>
  <c r="C92" i="32"/>
  <c r="D92" i="32"/>
  <c r="E92" i="32"/>
  <c r="F92" i="32"/>
  <c r="G92" i="32"/>
  <c r="A93" i="32"/>
  <c r="B93" i="32"/>
  <c r="C93" i="32"/>
  <c r="D93" i="32"/>
  <c r="E93" i="32"/>
  <c r="F93" i="32"/>
  <c r="G93" i="32"/>
  <c r="A94" i="32"/>
  <c r="B94" i="32"/>
  <c r="C94" i="32"/>
  <c r="D94" i="32"/>
  <c r="E94" i="32"/>
  <c r="F94" i="32"/>
  <c r="G94" i="32"/>
  <c r="A95" i="32"/>
  <c r="B95" i="32"/>
  <c r="C95" i="32"/>
  <c r="D95" i="32"/>
  <c r="E95" i="32"/>
  <c r="F95" i="32"/>
  <c r="G95" i="32"/>
  <c r="A96" i="32"/>
  <c r="B96" i="32"/>
  <c r="C96" i="32"/>
  <c r="D96" i="32"/>
  <c r="E96" i="32"/>
  <c r="F96" i="32"/>
  <c r="G96" i="32"/>
  <c r="A97" i="32"/>
  <c r="B97" i="32"/>
  <c r="C97" i="32"/>
  <c r="D97" i="32"/>
  <c r="E97" i="32"/>
  <c r="F97" i="32"/>
  <c r="G97" i="32"/>
  <c r="A98" i="32"/>
  <c r="B98" i="32"/>
  <c r="C98" i="32"/>
  <c r="D98" i="32"/>
  <c r="E98" i="32"/>
  <c r="F98" i="32"/>
  <c r="G98" i="32"/>
  <c r="A99" i="32"/>
  <c r="B99" i="32"/>
  <c r="C99" i="32"/>
  <c r="D99" i="32"/>
  <c r="E99" i="32"/>
  <c r="F99" i="32"/>
  <c r="G99" i="32"/>
  <c r="A100" i="32"/>
  <c r="B100" i="32"/>
  <c r="C100" i="32"/>
  <c r="D100" i="32"/>
  <c r="E100" i="32"/>
  <c r="F100" i="32"/>
  <c r="G100" i="32"/>
  <c r="A101" i="32"/>
  <c r="B101" i="32"/>
  <c r="C101" i="32"/>
  <c r="D101" i="32"/>
  <c r="E101" i="32"/>
  <c r="F101" i="32"/>
  <c r="G101" i="32"/>
  <c r="A102" i="32"/>
  <c r="B102" i="32"/>
  <c r="C102" i="32"/>
  <c r="D102" i="32"/>
  <c r="E102" i="32"/>
  <c r="F102" i="32"/>
  <c r="G102" i="32"/>
  <c r="A103" i="32"/>
  <c r="B103" i="32"/>
  <c r="C103" i="32"/>
  <c r="D103" i="32"/>
  <c r="E103" i="32"/>
  <c r="F103" i="32"/>
  <c r="G103" i="32"/>
  <c r="A104" i="32"/>
  <c r="B104" i="32"/>
  <c r="C104" i="32"/>
  <c r="D104" i="32"/>
  <c r="E104" i="32"/>
  <c r="F104" i="32"/>
  <c r="G104" i="32"/>
  <c r="A105" i="32"/>
  <c r="B105" i="32"/>
  <c r="C105" i="32"/>
  <c r="D105" i="32"/>
  <c r="E105" i="32"/>
  <c r="F105" i="32"/>
  <c r="G105" i="32"/>
  <c r="A106" i="32"/>
  <c r="B106" i="32"/>
  <c r="C106" i="32"/>
  <c r="D106" i="32"/>
  <c r="E106" i="32"/>
  <c r="F106" i="32"/>
  <c r="G106" i="32"/>
  <c r="A107" i="32"/>
  <c r="B107" i="32"/>
  <c r="C107" i="32"/>
  <c r="D107" i="32"/>
  <c r="E107" i="32"/>
  <c r="F107" i="32"/>
  <c r="G107" i="32"/>
  <c r="A108" i="32"/>
  <c r="B108" i="32"/>
  <c r="C108" i="32"/>
  <c r="D108" i="32"/>
  <c r="E108" i="32"/>
  <c r="F108" i="32"/>
  <c r="G108" i="32"/>
  <c r="A109" i="32"/>
  <c r="B109" i="32"/>
  <c r="C109" i="32"/>
  <c r="D109" i="32"/>
  <c r="E109" i="32"/>
  <c r="F109" i="32"/>
  <c r="G109" i="32"/>
  <c r="A110" i="32"/>
  <c r="B110" i="32"/>
  <c r="C110" i="32"/>
  <c r="D110" i="32"/>
  <c r="E110" i="32"/>
  <c r="F110" i="32"/>
  <c r="G110" i="32"/>
  <c r="A111" i="32"/>
  <c r="B111" i="32"/>
  <c r="C111" i="32"/>
  <c r="D111" i="32"/>
  <c r="E111" i="32"/>
  <c r="F111" i="32"/>
  <c r="G111" i="32"/>
  <c r="A112" i="32"/>
  <c r="B112" i="32"/>
  <c r="C112" i="32"/>
  <c r="D112" i="32"/>
  <c r="E112" i="32"/>
  <c r="F112" i="32"/>
  <c r="G112" i="32"/>
  <c r="A113" i="32"/>
  <c r="B113" i="32"/>
  <c r="C113" i="32"/>
  <c r="D113" i="32"/>
  <c r="E113" i="32"/>
  <c r="F113" i="32"/>
  <c r="G113" i="32"/>
  <c r="A114" i="32"/>
  <c r="B114" i="32"/>
  <c r="C114" i="32"/>
  <c r="D114" i="32"/>
  <c r="E114" i="32"/>
  <c r="F114" i="32"/>
  <c r="G114" i="32"/>
  <c r="A115" i="32"/>
  <c r="B115" i="32"/>
  <c r="C115" i="32"/>
  <c r="D115" i="32"/>
  <c r="E115" i="32"/>
  <c r="F115" i="32"/>
  <c r="G115" i="32"/>
  <c r="A116" i="32"/>
  <c r="B116" i="32"/>
  <c r="C116" i="32"/>
  <c r="D116" i="32"/>
  <c r="E116" i="32"/>
  <c r="F116" i="32"/>
  <c r="G116" i="32"/>
  <c r="A117" i="32"/>
  <c r="B117" i="32"/>
  <c r="C117" i="32"/>
  <c r="D117" i="32"/>
  <c r="E117" i="32"/>
  <c r="F117" i="32"/>
  <c r="G117" i="32"/>
  <c r="A118" i="32"/>
  <c r="B118" i="32"/>
  <c r="C118" i="32"/>
  <c r="D118" i="32"/>
  <c r="E118" i="32"/>
  <c r="F118" i="32"/>
  <c r="G118" i="32"/>
  <c r="A119" i="32"/>
  <c r="B119" i="32"/>
  <c r="C119" i="32"/>
  <c r="D119" i="32"/>
  <c r="E119" i="32"/>
  <c r="F119" i="32"/>
  <c r="G119" i="32"/>
  <c r="A120" i="32"/>
  <c r="B120" i="32"/>
  <c r="C120" i="32"/>
  <c r="D120" i="32"/>
  <c r="E120" i="32"/>
  <c r="F120" i="32"/>
  <c r="G120" i="32"/>
  <c r="A121" i="32"/>
  <c r="B121" i="32"/>
  <c r="C121" i="32"/>
  <c r="D121" i="32"/>
  <c r="E121" i="32"/>
  <c r="F121" i="32"/>
  <c r="G121" i="32"/>
  <c r="A122" i="32"/>
  <c r="B122" i="32"/>
  <c r="C122" i="32"/>
  <c r="D122" i="32"/>
  <c r="E122" i="32"/>
  <c r="F122" i="32"/>
  <c r="G122" i="32"/>
  <c r="A123" i="32"/>
  <c r="B123" i="32"/>
  <c r="C123" i="32"/>
  <c r="D123" i="32"/>
  <c r="E123" i="32"/>
  <c r="F123" i="32"/>
  <c r="G123" i="32"/>
  <c r="A124" i="32"/>
  <c r="B124" i="32"/>
  <c r="C124" i="32"/>
  <c r="D124" i="32"/>
  <c r="E124" i="32"/>
  <c r="F124" i="32"/>
  <c r="G124" i="32"/>
  <c r="A125" i="32"/>
  <c r="B125" i="32"/>
  <c r="C125" i="32"/>
  <c r="D125" i="32"/>
  <c r="E125" i="32"/>
  <c r="F125" i="32"/>
  <c r="G125" i="32"/>
  <c r="A126" i="32"/>
  <c r="B126" i="32"/>
  <c r="C126" i="32"/>
  <c r="D126" i="32"/>
  <c r="E126" i="32"/>
  <c r="F126" i="32"/>
  <c r="G126" i="32"/>
  <c r="A127" i="32"/>
  <c r="B127" i="32"/>
  <c r="C127" i="32"/>
  <c r="D127" i="32"/>
  <c r="E127" i="32"/>
  <c r="F127" i="32"/>
  <c r="G127" i="32"/>
  <c r="A128" i="32"/>
  <c r="B128" i="32"/>
  <c r="C128" i="32"/>
  <c r="D128" i="32"/>
  <c r="E128" i="32"/>
  <c r="F128" i="32"/>
  <c r="G128" i="32"/>
  <c r="A129" i="32"/>
  <c r="B129" i="32"/>
  <c r="C129" i="32"/>
  <c r="D129" i="32"/>
  <c r="E129" i="32"/>
  <c r="F129" i="32"/>
  <c r="G129" i="32"/>
  <c r="A130" i="32"/>
  <c r="B130" i="32"/>
  <c r="C130" i="32"/>
  <c r="D130" i="32"/>
  <c r="E130" i="32"/>
  <c r="F130" i="32"/>
  <c r="G130" i="32"/>
  <c r="A131" i="32"/>
  <c r="B131" i="32"/>
  <c r="C131" i="32"/>
  <c r="D131" i="32"/>
  <c r="E131" i="32"/>
  <c r="F131" i="32"/>
  <c r="G131" i="32"/>
  <c r="A132" i="32"/>
  <c r="B132" i="32"/>
  <c r="C132" i="32"/>
  <c r="D132" i="32"/>
  <c r="E132" i="32"/>
  <c r="F132" i="32"/>
  <c r="G132" i="32"/>
  <c r="A133" i="32"/>
  <c r="B133" i="32"/>
  <c r="C133" i="32"/>
  <c r="D133" i="32"/>
  <c r="E133" i="32"/>
  <c r="K133" i="32" s="1"/>
  <c r="F133" i="32"/>
  <c r="G133" i="32"/>
  <c r="A134" i="32"/>
  <c r="B134" i="32"/>
  <c r="C134" i="32"/>
  <c r="D134" i="32"/>
  <c r="E134" i="32"/>
  <c r="F134" i="32"/>
  <c r="G134" i="32"/>
  <c r="A135" i="32"/>
  <c r="B135" i="32"/>
  <c r="C135" i="32"/>
  <c r="D135" i="32"/>
  <c r="E135" i="32"/>
  <c r="L135" i="32" s="1"/>
  <c r="F135" i="32"/>
  <c r="G135" i="32"/>
  <c r="A136" i="32"/>
  <c r="B136" i="32"/>
  <c r="C136" i="32"/>
  <c r="D136" i="32"/>
  <c r="E136" i="32"/>
  <c r="F136" i="32"/>
  <c r="G136" i="32"/>
  <c r="A137" i="32"/>
  <c r="B137" i="32"/>
  <c r="C137" i="32"/>
  <c r="D137" i="32"/>
  <c r="E137" i="32"/>
  <c r="F137" i="32"/>
  <c r="G137" i="32"/>
  <c r="A138" i="32"/>
  <c r="B138" i="32"/>
  <c r="C138" i="32"/>
  <c r="D138" i="32"/>
  <c r="E138" i="32"/>
  <c r="F138" i="32"/>
  <c r="G138" i="32"/>
  <c r="A139" i="32"/>
  <c r="B139" i="32"/>
  <c r="C139" i="32"/>
  <c r="D139" i="32"/>
  <c r="E139" i="32"/>
  <c r="M139" i="32" s="1"/>
  <c r="O139" i="32" s="1"/>
  <c r="S139" i="32" s="1"/>
  <c r="F139" i="32"/>
  <c r="G139" i="32"/>
  <c r="A140" i="32"/>
  <c r="B140" i="32"/>
  <c r="C140" i="32"/>
  <c r="D140" i="32"/>
  <c r="E140" i="32"/>
  <c r="F140" i="32"/>
  <c r="G140" i="32"/>
  <c r="A141" i="32"/>
  <c r="B141" i="32"/>
  <c r="C141" i="32"/>
  <c r="D141" i="32"/>
  <c r="E141" i="32"/>
  <c r="F141" i="32"/>
  <c r="G141" i="32"/>
  <c r="A142" i="32"/>
  <c r="B142" i="32"/>
  <c r="C142" i="32"/>
  <c r="D142" i="32"/>
  <c r="E142" i="32"/>
  <c r="F142" i="32"/>
  <c r="G142" i="32"/>
  <c r="A143" i="32"/>
  <c r="B143" i="32"/>
  <c r="C143" i="32"/>
  <c r="D143" i="32"/>
  <c r="E143" i="32"/>
  <c r="F143" i="32"/>
  <c r="G143" i="32"/>
  <c r="A144" i="32"/>
  <c r="B144" i="32"/>
  <c r="C144" i="32"/>
  <c r="D144" i="32"/>
  <c r="E144" i="32"/>
  <c r="F144" i="32"/>
  <c r="G144" i="32"/>
  <c r="I144" i="32" s="1"/>
  <c r="A145" i="32"/>
  <c r="B145" i="32"/>
  <c r="C145" i="32"/>
  <c r="D145" i="32"/>
  <c r="E145" i="32"/>
  <c r="M145" i="32" s="1"/>
  <c r="O145" i="32" s="1"/>
  <c r="S145" i="32" s="1"/>
  <c r="F145" i="32"/>
  <c r="G145" i="32"/>
  <c r="A146" i="32"/>
  <c r="B146" i="32"/>
  <c r="C146" i="32"/>
  <c r="D146" i="32"/>
  <c r="E146" i="32"/>
  <c r="F146" i="32"/>
  <c r="G146" i="32"/>
  <c r="A147" i="32"/>
  <c r="B147" i="32"/>
  <c r="C147" i="32"/>
  <c r="D147" i="32"/>
  <c r="E147" i="32"/>
  <c r="F147" i="32"/>
  <c r="G147" i="32"/>
  <c r="A148" i="32"/>
  <c r="B148" i="32"/>
  <c r="C148" i="32"/>
  <c r="D148" i="32"/>
  <c r="E148" i="32"/>
  <c r="K148" i="32" s="1"/>
  <c r="F148" i="32"/>
  <c r="G148" i="32"/>
  <c r="A149" i="32"/>
  <c r="B149" i="32"/>
  <c r="C149" i="32"/>
  <c r="D149" i="32"/>
  <c r="E149" i="32"/>
  <c r="F149" i="32"/>
  <c r="G149" i="32"/>
  <c r="A150" i="32"/>
  <c r="B150" i="32"/>
  <c r="C150" i="32"/>
  <c r="D150" i="32"/>
  <c r="E150" i="32"/>
  <c r="F150" i="32"/>
  <c r="G150" i="32"/>
  <c r="I150" i="32" s="1"/>
  <c r="A151" i="32"/>
  <c r="B151" i="32"/>
  <c r="C151" i="32"/>
  <c r="D151" i="32"/>
  <c r="E151" i="32"/>
  <c r="F151" i="32"/>
  <c r="G151" i="32"/>
  <c r="A152" i="32"/>
  <c r="B152" i="32"/>
  <c r="C152" i="32"/>
  <c r="D152" i="32"/>
  <c r="E152" i="32"/>
  <c r="F152" i="32"/>
  <c r="G152" i="32"/>
  <c r="A153" i="32"/>
  <c r="B153" i="32"/>
  <c r="C153" i="32"/>
  <c r="D153" i="32"/>
  <c r="E153" i="32"/>
  <c r="F153" i="32"/>
  <c r="G153" i="32"/>
  <c r="A154" i="32"/>
  <c r="B154" i="32"/>
  <c r="C154" i="32"/>
  <c r="D154" i="32"/>
  <c r="E154" i="32"/>
  <c r="F154" i="32"/>
  <c r="G154" i="32"/>
  <c r="A155" i="32"/>
  <c r="B155" i="32"/>
  <c r="C155" i="32"/>
  <c r="D155" i="32"/>
  <c r="E155" i="32"/>
  <c r="F155" i="32"/>
  <c r="G155" i="32"/>
  <c r="A156" i="32"/>
  <c r="B156" i="32"/>
  <c r="C156" i="32"/>
  <c r="D156" i="32"/>
  <c r="E156" i="32"/>
  <c r="F156" i="32"/>
  <c r="G156" i="32"/>
  <c r="A157" i="32"/>
  <c r="B157" i="32"/>
  <c r="C157" i="32"/>
  <c r="D157" i="32"/>
  <c r="L157" i="32" s="1"/>
  <c r="E157" i="32"/>
  <c r="F157" i="32"/>
  <c r="G157" i="32"/>
  <c r="A158" i="32"/>
  <c r="B158" i="32"/>
  <c r="C158" i="32"/>
  <c r="D158" i="32"/>
  <c r="E158" i="32"/>
  <c r="L158" i="32" s="1"/>
  <c r="F158" i="32"/>
  <c r="G158" i="32"/>
  <c r="A159" i="32"/>
  <c r="B159" i="32"/>
  <c r="C159" i="32"/>
  <c r="D159" i="32"/>
  <c r="E159" i="32"/>
  <c r="L159" i="32" s="1"/>
  <c r="F159" i="32"/>
  <c r="G159" i="32"/>
  <c r="A160" i="32"/>
  <c r="B160" i="32"/>
  <c r="C160" i="32"/>
  <c r="D160" i="32"/>
  <c r="E160" i="32"/>
  <c r="K160" i="32" s="1"/>
  <c r="F160" i="32"/>
  <c r="G160" i="32"/>
  <c r="A161" i="32"/>
  <c r="B161" i="32"/>
  <c r="N161" i="32" s="1"/>
  <c r="C161" i="32"/>
  <c r="D161" i="32"/>
  <c r="E161" i="32"/>
  <c r="F161" i="32"/>
  <c r="G161" i="32"/>
  <c r="A162" i="32"/>
  <c r="B162" i="32"/>
  <c r="C162" i="32"/>
  <c r="D162" i="32"/>
  <c r="E162" i="32"/>
  <c r="L162" i="32" s="1"/>
  <c r="N162" i="32" s="1"/>
  <c r="F162" i="32"/>
  <c r="G162" i="32"/>
  <c r="A163" i="32"/>
  <c r="B163" i="32"/>
  <c r="C163" i="32"/>
  <c r="D163" i="32"/>
  <c r="E163" i="32"/>
  <c r="L163" i="32" s="1"/>
  <c r="F163" i="32"/>
  <c r="G163" i="32"/>
  <c r="A164" i="32"/>
  <c r="B164" i="32"/>
  <c r="N164" i="32" s="1"/>
  <c r="C164" i="32"/>
  <c r="D164" i="32"/>
  <c r="E164" i="32"/>
  <c r="L164" i="32" s="1"/>
  <c r="F164" i="32"/>
  <c r="G164" i="32"/>
  <c r="A165" i="32"/>
  <c r="B165" i="32"/>
  <c r="C165" i="32"/>
  <c r="D165" i="32"/>
  <c r="E165" i="32"/>
  <c r="F165" i="32"/>
  <c r="G165" i="32"/>
  <c r="A166" i="32"/>
  <c r="B166" i="32"/>
  <c r="C166" i="32"/>
  <c r="D166" i="32"/>
  <c r="E166" i="32"/>
  <c r="M166" i="32" s="1"/>
  <c r="O166" i="32" s="1"/>
  <c r="S166" i="32" s="1"/>
  <c r="F166" i="32"/>
  <c r="G166" i="32"/>
  <c r="A167" i="32"/>
  <c r="B167" i="32"/>
  <c r="C167" i="32"/>
  <c r="D167" i="32"/>
  <c r="E167" i="32"/>
  <c r="F167" i="32"/>
  <c r="G167" i="32"/>
  <c r="A168" i="32"/>
  <c r="B168" i="32"/>
  <c r="C168" i="32"/>
  <c r="D168" i="32"/>
  <c r="E168" i="32"/>
  <c r="F168" i="32"/>
  <c r="G168" i="32"/>
  <c r="A169" i="32"/>
  <c r="B169" i="32"/>
  <c r="N169" i="32" s="1"/>
  <c r="C169" i="32"/>
  <c r="D169" i="32"/>
  <c r="E169" i="32"/>
  <c r="K169" i="32" s="1"/>
  <c r="F169" i="32"/>
  <c r="G169" i="32"/>
  <c r="I169" i="32" s="1"/>
  <c r="A170" i="32"/>
  <c r="B170" i="32"/>
  <c r="C170" i="32"/>
  <c r="D170" i="32"/>
  <c r="E170" i="32"/>
  <c r="M170" i="32" s="1"/>
  <c r="F170" i="32"/>
  <c r="G170" i="32"/>
  <c r="I170" i="32" s="1"/>
  <c r="A171" i="32"/>
  <c r="B171" i="32"/>
  <c r="C171" i="32"/>
  <c r="D171" i="32"/>
  <c r="E171" i="32"/>
  <c r="F171" i="32"/>
  <c r="G171" i="32"/>
  <c r="A172" i="32"/>
  <c r="B172" i="32"/>
  <c r="C172" i="32"/>
  <c r="D172" i="32"/>
  <c r="E172" i="32"/>
  <c r="K172" i="32" s="1"/>
  <c r="F172" i="32"/>
  <c r="G172" i="32"/>
  <c r="I172" i="32" s="1"/>
  <c r="A173" i="32"/>
  <c r="B173" i="32"/>
  <c r="C173" i="32"/>
  <c r="D173" i="32"/>
  <c r="E173" i="32"/>
  <c r="K173" i="32" s="1"/>
  <c r="F173" i="32"/>
  <c r="G173" i="32"/>
  <c r="I173" i="32" s="1"/>
  <c r="X173" i="32" s="1"/>
  <c r="A174" i="32"/>
  <c r="B174" i="32"/>
  <c r="C174" i="32"/>
  <c r="D174" i="32"/>
  <c r="E174" i="32"/>
  <c r="L174" i="32" s="1"/>
  <c r="F174" i="32"/>
  <c r="G174" i="32"/>
  <c r="A175" i="32"/>
  <c r="B175" i="32"/>
  <c r="C175" i="32"/>
  <c r="D175" i="32"/>
  <c r="E175" i="32"/>
  <c r="K175" i="32" s="1"/>
  <c r="F175" i="32"/>
  <c r="G175" i="32"/>
  <c r="I175" i="32" s="1"/>
  <c r="A176" i="32"/>
  <c r="B176" i="32"/>
  <c r="C176" i="32"/>
  <c r="D176" i="32"/>
  <c r="E176" i="32"/>
  <c r="L176" i="32" s="1"/>
  <c r="F176" i="32"/>
  <c r="G176" i="32"/>
  <c r="I176" i="32" s="1"/>
  <c r="A177" i="32"/>
  <c r="B177" i="32"/>
  <c r="C177" i="32"/>
  <c r="D177" i="32"/>
  <c r="E177" i="32"/>
  <c r="F177" i="32"/>
  <c r="G177" i="32"/>
  <c r="A178" i="32"/>
  <c r="B178" i="32"/>
  <c r="N178" i="32" s="1"/>
  <c r="C178" i="32"/>
  <c r="D178" i="32"/>
  <c r="E178" i="32"/>
  <c r="K178" i="32" s="1"/>
  <c r="F178" i="32"/>
  <c r="G178" i="32"/>
  <c r="A179" i="32"/>
  <c r="B179" i="32"/>
  <c r="C179" i="32"/>
  <c r="D179" i="32"/>
  <c r="E179" i="32"/>
  <c r="K179" i="32" s="1"/>
  <c r="F179" i="32"/>
  <c r="G179" i="32"/>
  <c r="I179" i="32" s="1"/>
  <c r="H179" i="31"/>
  <c r="H178" i="31"/>
  <c r="H177" i="31"/>
  <c r="H176" i="31"/>
  <c r="H175" i="31"/>
  <c r="H174" i="31"/>
  <c r="H173" i="31"/>
  <c r="H172" i="31"/>
  <c r="H171" i="31"/>
  <c r="H170" i="31"/>
  <c r="H169" i="31"/>
  <c r="H168" i="31"/>
  <c r="H167" i="31"/>
  <c r="H166" i="31"/>
  <c r="H165" i="31"/>
  <c r="H164" i="31"/>
  <c r="H163" i="31"/>
  <c r="H162" i="31"/>
  <c r="H161" i="31"/>
  <c r="H160" i="31"/>
  <c r="H159" i="31"/>
  <c r="H158" i="31"/>
  <c r="H157" i="31"/>
  <c r="H156" i="31"/>
  <c r="H155" i="31"/>
  <c r="H154" i="31"/>
  <c r="H153" i="31"/>
  <c r="H152" i="31"/>
  <c r="H151" i="31"/>
  <c r="H150" i="31"/>
  <c r="H149" i="31"/>
  <c r="H148" i="31"/>
  <c r="H147" i="31"/>
  <c r="H146" i="31"/>
  <c r="H145" i="31"/>
  <c r="H144" i="31"/>
  <c r="H143" i="31"/>
  <c r="H142" i="31"/>
  <c r="H141" i="31"/>
  <c r="H140" i="31"/>
  <c r="H139" i="31"/>
  <c r="H138" i="31"/>
  <c r="H137" i="31"/>
  <c r="H136" i="31"/>
  <c r="H135" i="31"/>
  <c r="H134" i="31"/>
  <c r="H133" i="31"/>
  <c r="H132" i="31"/>
  <c r="H131" i="31"/>
  <c r="H130" i="31"/>
  <c r="H129" i="31"/>
  <c r="H128" i="31"/>
  <c r="H127" i="31"/>
  <c r="H126" i="31"/>
  <c r="H125" i="31"/>
  <c r="H124" i="31"/>
  <c r="H123" i="31"/>
  <c r="H122" i="31"/>
  <c r="H121" i="31"/>
  <c r="H120" i="31"/>
  <c r="H119" i="31"/>
  <c r="H118" i="31"/>
  <c r="H117" i="31"/>
  <c r="H116" i="31"/>
  <c r="H115" i="31"/>
  <c r="H114" i="31"/>
  <c r="H113" i="31"/>
  <c r="H112" i="31"/>
  <c r="H111" i="31"/>
  <c r="H110" i="31"/>
  <c r="H109" i="31"/>
  <c r="H108" i="31"/>
  <c r="H107" i="31"/>
  <c r="H106" i="31"/>
  <c r="H105" i="31"/>
  <c r="H104" i="31"/>
  <c r="H103" i="31"/>
  <c r="H102" i="31"/>
  <c r="H101" i="31"/>
  <c r="H100" i="31"/>
  <c r="H99" i="31"/>
  <c r="H98" i="31"/>
  <c r="H97" i="31"/>
  <c r="H96" i="31"/>
  <c r="H95" i="31"/>
  <c r="H94" i="31"/>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I174" i="3"/>
  <c r="I173" i="3"/>
  <c r="I172" i="3"/>
  <c r="I171" i="3"/>
  <c r="I170" i="3"/>
  <c r="I169" i="3"/>
  <c r="I168" i="3"/>
  <c r="I167" i="3"/>
  <c r="I166" i="3"/>
  <c r="I165" i="3"/>
  <c r="I164" i="3"/>
  <c r="I163" i="3"/>
  <c r="I162" i="3"/>
  <c r="I161" i="3"/>
  <c r="I160" i="3"/>
  <c r="I159" i="3"/>
  <c r="I158" i="3"/>
  <c r="I157" i="3"/>
  <c r="I156" i="3"/>
  <c r="I155" i="3"/>
  <c r="I154" i="3"/>
  <c r="I153" i="3"/>
  <c r="I152" i="3"/>
  <c r="I151" i="3"/>
  <c r="I150" i="3"/>
  <c r="I149" i="3"/>
  <c r="I148" i="3"/>
  <c r="I147"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I28" i="3"/>
  <c r="I27" i="3"/>
  <c r="I26" i="3"/>
  <c r="M10" i="3"/>
  <c r="Z10" i="3"/>
  <c r="M11" i="3"/>
  <c r="Z11" i="3"/>
  <c r="M12" i="3"/>
  <c r="T12" i="3"/>
  <c r="Z12" i="3"/>
  <c r="M13" i="3"/>
  <c r="T13" i="3"/>
  <c r="Z13" i="3"/>
  <c r="M14" i="3"/>
  <c r="Z14" i="3"/>
  <c r="M15" i="3"/>
  <c r="Z15" i="3"/>
  <c r="M16" i="3"/>
  <c r="T16" i="3" s="1"/>
  <c r="Z16" i="3"/>
  <c r="M17" i="3"/>
  <c r="T17" i="3" s="1"/>
  <c r="Z17" i="3"/>
  <c r="M18" i="3"/>
  <c r="Z18" i="3"/>
  <c r="M19" i="3"/>
  <c r="Z19" i="3"/>
  <c r="M20" i="3"/>
  <c r="T20" i="3" s="1"/>
  <c r="Z20" i="3"/>
  <c r="M21" i="3"/>
  <c r="Z21" i="3"/>
  <c r="M22" i="3"/>
  <c r="Z22" i="3"/>
  <c r="M23" i="3"/>
  <c r="Z23" i="3"/>
  <c r="M24" i="3"/>
  <c r="Z24" i="3"/>
  <c r="M25" i="3"/>
  <c r="Z25" i="3"/>
  <c r="M26" i="3"/>
  <c r="Z26" i="3"/>
  <c r="M27" i="3"/>
  <c r="Z27" i="3"/>
  <c r="M28" i="3"/>
  <c r="T28" i="3" s="1"/>
  <c r="Z28" i="3"/>
  <c r="M29" i="3"/>
  <c r="Z29" i="3"/>
  <c r="M30" i="3"/>
  <c r="Z30" i="3"/>
  <c r="M31" i="3"/>
  <c r="Z31" i="3"/>
  <c r="M32" i="3"/>
  <c r="T32" i="3" s="1"/>
  <c r="Z32" i="3"/>
  <c r="M33" i="3"/>
  <c r="Z33" i="3"/>
  <c r="M34" i="3"/>
  <c r="Z34" i="3"/>
  <c r="M35" i="3"/>
  <c r="Z35" i="3"/>
  <c r="M36" i="3"/>
  <c r="T36" i="3" s="1"/>
  <c r="Z36" i="3"/>
  <c r="M37" i="3"/>
  <c r="Z37" i="3"/>
  <c r="M38" i="3"/>
  <c r="Z38" i="3"/>
  <c r="M39" i="3"/>
  <c r="Z39" i="3"/>
  <c r="M40" i="3"/>
  <c r="Z40" i="3"/>
  <c r="M41" i="3"/>
  <c r="Z41" i="3"/>
  <c r="M42" i="3"/>
  <c r="T42" i="3"/>
  <c r="Z42" i="3"/>
  <c r="M43" i="3"/>
  <c r="Z43" i="3"/>
  <c r="M44" i="3"/>
  <c r="T44" i="3"/>
  <c r="Z44" i="3"/>
  <c r="M45" i="3"/>
  <c r="Z45" i="3"/>
  <c r="M46" i="3"/>
  <c r="Z46" i="3"/>
  <c r="M47" i="3"/>
  <c r="T47" i="3"/>
  <c r="X47" i="3"/>
  <c r="P47" i="3" s="1"/>
  <c r="Z47" i="3"/>
  <c r="M48" i="3"/>
  <c r="Z48" i="3"/>
  <c r="M49" i="3"/>
  <c r="Z49" i="3"/>
  <c r="M50" i="3"/>
  <c r="Z50" i="3"/>
  <c r="M51" i="3"/>
  <c r="T51" i="3"/>
  <c r="Z51" i="3"/>
  <c r="M52" i="3"/>
  <c r="Z52" i="3"/>
  <c r="M53" i="3"/>
  <c r="Z53" i="3"/>
  <c r="M54" i="3"/>
  <c r="T54" i="3"/>
  <c r="Z54" i="3"/>
  <c r="M55" i="3"/>
  <c r="Z55" i="3"/>
  <c r="M56" i="3"/>
  <c r="T56" i="3"/>
  <c r="Z56" i="3"/>
  <c r="M57" i="3"/>
  <c r="Z57" i="3"/>
  <c r="M58" i="3"/>
  <c r="Z58" i="3"/>
  <c r="M59" i="3"/>
  <c r="T59" i="3"/>
  <c r="Z59" i="3"/>
  <c r="M60" i="3"/>
  <c r="Z60" i="3"/>
  <c r="M61" i="3"/>
  <c r="Z61" i="3"/>
  <c r="M62" i="3"/>
  <c r="T62" i="3" s="1"/>
  <c r="Z62" i="3"/>
  <c r="M63" i="3"/>
  <c r="T63" i="3"/>
  <c r="Z63" i="3"/>
  <c r="M64" i="3"/>
  <c r="Z64" i="3"/>
  <c r="M65" i="3"/>
  <c r="Z65" i="3"/>
  <c r="M66" i="3"/>
  <c r="T66" i="3" s="1"/>
  <c r="Z66" i="3"/>
  <c r="M67" i="3"/>
  <c r="Z67" i="3"/>
  <c r="M68" i="3"/>
  <c r="Z68" i="3"/>
  <c r="M69" i="3"/>
  <c r="Z69" i="3"/>
  <c r="M70" i="3"/>
  <c r="T70" i="3" s="1"/>
  <c r="Z70" i="3"/>
  <c r="M71" i="3"/>
  <c r="T71" i="3"/>
  <c r="Z71" i="3"/>
  <c r="M72" i="3"/>
  <c r="Z72" i="3"/>
  <c r="M73" i="3"/>
  <c r="Z73" i="3"/>
  <c r="M74" i="3"/>
  <c r="T74" i="3" s="1"/>
  <c r="Z74" i="3"/>
  <c r="M75" i="3"/>
  <c r="T75" i="3"/>
  <c r="Z75" i="3"/>
  <c r="M76" i="3"/>
  <c r="Z76" i="3"/>
  <c r="M77" i="3"/>
  <c r="Z77" i="3"/>
  <c r="M78" i="3"/>
  <c r="Z78" i="3"/>
  <c r="M79" i="3"/>
  <c r="Z79" i="3"/>
  <c r="M80" i="3"/>
  <c r="T80" i="3"/>
  <c r="Z80" i="3"/>
  <c r="M81" i="3"/>
  <c r="Z81" i="3"/>
  <c r="M82" i="3"/>
  <c r="T82" i="3"/>
  <c r="Z82" i="3"/>
  <c r="M83" i="3"/>
  <c r="Z83" i="3"/>
  <c r="M84" i="3"/>
  <c r="T84" i="3"/>
  <c r="Z84" i="3"/>
  <c r="M85" i="3"/>
  <c r="Z85" i="3"/>
  <c r="M86" i="3"/>
  <c r="Z86" i="3"/>
  <c r="M87" i="3"/>
  <c r="Z87" i="3"/>
  <c r="M88" i="3"/>
  <c r="T88" i="3"/>
  <c r="Z88" i="3"/>
  <c r="M89" i="3"/>
  <c r="T89" i="3" s="1"/>
  <c r="Z89" i="3"/>
  <c r="M90" i="3"/>
  <c r="Z90" i="3"/>
  <c r="M91" i="3"/>
  <c r="Z91" i="3"/>
  <c r="M92" i="3"/>
  <c r="T92" i="3" s="1"/>
  <c r="Z92" i="3"/>
  <c r="M93" i="3"/>
  <c r="T93" i="3" s="1"/>
  <c r="Z93" i="3"/>
  <c r="M94" i="3"/>
  <c r="Z94" i="3"/>
  <c r="M95" i="3"/>
  <c r="Z95" i="3"/>
  <c r="M96" i="3"/>
  <c r="T96" i="3" s="1"/>
  <c r="Z96" i="3"/>
  <c r="M97" i="3"/>
  <c r="T97" i="3" s="1"/>
  <c r="Z97" i="3"/>
  <c r="M98" i="3"/>
  <c r="Z98" i="3"/>
  <c r="M99" i="3"/>
  <c r="Z99" i="3"/>
  <c r="M100" i="3"/>
  <c r="T100" i="3" s="1"/>
  <c r="Z100" i="3"/>
  <c r="M101" i="3"/>
  <c r="T101" i="3" s="1"/>
  <c r="Z101" i="3"/>
  <c r="M102" i="3"/>
  <c r="Z102" i="3"/>
  <c r="M103" i="3"/>
  <c r="Z103" i="3"/>
  <c r="M104" i="3"/>
  <c r="T104" i="3" s="1"/>
  <c r="Z104" i="3"/>
  <c r="M105" i="3"/>
  <c r="T105" i="3" s="1"/>
  <c r="Z105" i="3"/>
  <c r="M106" i="3"/>
  <c r="Z106" i="3"/>
  <c r="M107" i="3"/>
  <c r="T107" i="3" s="1"/>
  <c r="Z107" i="3"/>
  <c r="M108" i="3"/>
  <c r="T108" i="3" s="1"/>
  <c r="Z108" i="3"/>
  <c r="M109" i="3"/>
  <c r="T109" i="3" s="1"/>
  <c r="Z109" i="3"/>
  <c r="M110" i="3"/>
  <c r="Z110" i="3"/>
  <c r="M111" i="3"/>
  <c r="T111" i="3" s="1"/>
  <c r="Z111" i="3"/>
  <c r="M112" i="3"/>
  <c r="T112" i="3" s="1"/>
  <c r="Z112" i="3"/>
  <c r="M113" i="3"/>
  <c r="Z113" i="3"/>
  <c r="M114" i="3"/>
  <c r="Z114" i="3"/>
  <c r="M115" i="3"/>
  <c r="Z115" i="3"/>
  <c r="M116" i="3"/>
  <c r="Z116" i="3"/>
  <c r="M117" i="3"/>
  <c r="Z117" i="3"/>
  <c r="M118" i="3"/>
  <c r="Z118" i="3"/>
  <c r="M119" i="3"/>
  <c r="T119" i="3"/>
  <c r="Z119" i="3"/>
  <c r="M120" i="3"/>
  <c r="T120" i="3"/>
  <c r="Z120" i="3"/>
  <c r="M121" i="3"/>
  <c r="T121" i="3"/>
  <c r="Z121" i="3"/>
  <c r="M122" i="3"/>
  <c r="T122" i="3"/>
  <c r="Z122" i="3"/>
  <c r="M123" i="3"/>
  <c r="Z123" i="3"/>
  <c r="M124" i="3"/>
  <c r="T124" i="3"/>
  <c r="Z124" i="3"/>
  <c r="M125" i="3"/>
  <c r="Z125" i="3"/>
  <c r="M126" i="3"/>
  <c r="Z126" i="3"/>
  <c r="M127" i="3"/>
  <c r="Z127" i="3"/>
  <c r="M128" i="3"/>
  <c r="T128" i="3"/>
  <c r="Z128" i="3"/>
  <c r="M129" i="3"/>
  <c r="Z129" i="3"/>
  <c r="M130" i="3"/>
  <c r="Z130" i="3"/>
  <c r="M131" i="3"/>
  <c r="T131" i="3"/>
  <c r="Z131" i="3"/>
  <c r="M132" i="3"/>
  <c r="T132" i="3"/>
  <c r="Z132" i="3"/>
  <c r="M133" i="3"/>
  <c r="Z133" i="3"/>
  <c r="M134" i="3"/>
  <c r="Z134" i="3"/>
  <c r="M135" i="3"/>
  <c r="T135" i="3"/>
  <c r="Z135" i="3"/>
  <c r="M136" i="3"/>
  <c r="T136" i="3"/>
  <c r="Z136" i="3"/>
  <c r="M137" i="3"/>
  <c r="Z137" i="3"/>
  <c r="M138" i="3"/>
  <c r="Z138" i="3"/>
  <c r="M139" i="3"/>
  <c r="Z139" i="3"/>
  <c r="M140" i="3"/>
  <c r="Z140" i="3"/>
  <c r="M141" i="3"/>
  <c r="Z141" i="3"/>
  <c r="M142" i="3"/>
  <c r="Z142" i="3"/>
  <c r="M143" i="3"/>
  <c r="T143" i="3"/>
  <c r="Z143" i="3"/>
  <c r="M144" i="3"/>
  <c r="Z144" i="3"/>
  <c r="M145" i="3"/>
  <c r="Z145" i="3"/>
  <c r="M146" i="3"/>
  <c r="Z146" i="3"/>
  <c r="M147" i="3"/>
  <c r="T147" i="3"/>
  <c r="Z147" i="3"/>
  <c r="AC147" i="3"/>
  <c r="M148" i="3"/>
  <c r="Z148" i="3"/>
  <c r="M149" i="3"/>
  <c r="Z149" i="3"/>
  <c r="M150" i="3"/>
  <c r="Z150" i="3"/>
  <c r="M151" i="3"/>
  <c r="Z151" i="3"/>
  <c r="M152" i="3"/>
  <c r="T152" i="3" s="1"/>
  <c r="Z152" i="3"/>
  <c r="M153" i="3"/>
  <c r="Z153" i="3"/>
  <c r="M154" i="3"/>
  <c r="Z154" i="3"/>
  <c r="M155" i="3"/>
  <c r="Z155" i="3"/>
  <c r="M156" i="3"/>
  <c r="N156" i="3" s="1"/>
  <c r="O156" i="3" s="1"/>
  <c r="Z156" i="3"/>
  <c r="M157" i="3"/>
  <c r="Z157" i="3"/>
  <c r="M158" i="3"/>
  <c r="Z158" i="3"/>
  <c r="M159" i="3"/>
  <c r="Z159" i="3"/>
  <c r="M160" i="3"/>
  <c r="Z160" i="3"/>
  <c r="M161" i="3"/>
  <c r="Z161" i="3"/>
  <c r="M162" i="3"/>
  <c r="T162" i="3"/>
  <c r="Z162" i="3"/>
  <c r="M163" i="3"/>
  <c r="X163" i="3" s="1"/>
  <c r="P163" i="3" s="1"/>
  <c r="Z163" i="3"/>
  <c r="M164" i="3"/>
  <c r="Z164" i="3"/>
  <c r="M165" i="3"/>
  <c r="Z165" i="3"/>
  <c r="M166" i="3"/>
  <c r="T166" i="3"/>
  <c r="Z166" i="3"/>
  <c r="M167" i="3"/>
  <c r="Z167" i="3"/>
  <c r="M168" i="3"/>
  <c r="Z168" i="3"/>
  <c r="M169" i="3"/>
  <c r="Z169" i="3"/>
  <c r="M170" i="3"/>
  <c r="AG170" i="3" s="1"/>
  <c r="T170" i="3"/>
  <c r="Z170" i="3"/>
  <c r="M171" i="3"/>
  <c r="Z171" i="3"/>
  <c r="M172" i="3"/>
  <c r="Z172" i="3"/>
  <c r="M173" i="3"/>
  <c r="Z173" i="3"/>
  <c r="M174" i="3"/>
  <c r="T174" i="3"/>
  <c r="Z174" i="3"/>
  <c r="K20" i="3"/>
  <c r="K32" i="3"/>
  <c r="K44" i="3"/>
  <c r="K56" i="3"/>
  <c r="K92" i="3"/>
  <c r="A10" i="3"/>
  <c r="B10" i="3"/>
  <c r="C10" i="3"/>
  <c r="Y10" i="3" s="1"/>
  <c r="AC10" i="3" s="1"/>
  <c r="D10" i="3"/>
  <c r="E10" i="3"/>
  <c r="F10" i="3"/>
  <c r="G10" i="3"/>
  <c r="H10" i="3"/>
  <c r="A11" i="3"/>
  <c r="B11" i="3"/>
  <c r="C11" i="3"/>
  <c r="D11" i="3"/>
  <c r="E11" i="3"/>
  <c r="F11" i="3"/>
  <c r="G11" i="3"/>
  <c r="K11" i="3" s="1"/>
  <c r="H11" i="3"/>
  <c r="A12" i="3"/>
  <c r="B12" i="3"/>
  <c r="C12" i="3"/>
  <c r="Y12" i="3" s="1"/>
  <c r="AC12" i="3" s="1"/>
  <c r="D12" i="3"/>
  <c r="E12" i="3"/>
  <c r="U12" i="3" s="1"/>
  <c r="F12" i="3"/>
  <c r="G12" i="3"/>
  <c r="H12" i="3"/>
  <c r="A13" i="3"/>
  <c r="B13" i="3"/>
  <c r="C13" i="3"/>
  <c r="Y13" i="3" s="1"/>
  <c r="AC13" i="3" s="1"/>
  <c r="D13" i="3"/>
  <c r="E13" i="3"/>
  <c r="U13" i="3" s="1"/>
  <c r="F13" i="3"/>
  <c r="G13" i="3"/>
  <c r="H13" i="3"/>
  <c r="A14" i="3"/>
  <c r="B14" i="3"/>
  <c r="C14" i="3"/>
  <c r="D14" i="3"/>
  <c r="E14" i="3"/>
  <c r="U14" i="3" s="1"/>
  <c r="F14" i="3"/>
  <c r="G14" i="3"/>
  <c r="K14" i="3" s="1"/>
  <c r="H14" i="3"/>
  <c r="A15" i="3"/>
  <c r="B15" i="3"/>
  <c r="C15" i="3"/>
  <c r="Y15" i="3" s="1"/>
  <c r="AC15" i="3" s="1"/>
  <c r="D15" i="3"/>
  <c r="E15" i="3"/>
  <c r="F15" i="3"/>
  <c r="G15" i="3"/>
  <c r="H15" i="3"/>
  <c r="A16" i="3"/>
  <c r="B16" i="3"/>
  <c r="C16" i="3"/>
  <c r="Y16" i="3" s="1"/>
  <c r="AC16" i="3" s="1"/>
  <c r="D16" i="3"/>
  <c r="E16" i="3"/>
  <c r="U16" i="3" s="1"/>
  <c r="F16" i="3"/>
  <c r="G16" i="3"/>
  <c r="K16" i="3" s="1"/>
  <c r="H16" i="3"/>
  <c r="A17" i="3"/>
  <c r="B17" i="3"/>
  <c r="C17" i="3"/>
  <c r="D17" i="3"/>
  <c r="E17" i="3"/>
  <c r="U17" i="3" s="1"/>
  <c r="F17" i="3"/>
  <c r="G17" i="3"/>
  <c r="K17" i="3" s="1"/>
  <c r="H17" i="3"/>
  <c r="A18" i="3"/>
  <c r="B18" i="3"/>
  <c r="C18" i="3"/>
  <c r="Y18" i="3" s="1"/>
  <c r="AC18" i="3" s="1"/>
  <c r="D18" i="3"/>
  <c r="E18" i="3"/>
  <c r="U18" i="3" s="1"/>
  <c r="F18" i="3"/>
  <c r="G18" i="3"/>
  <c r="K18" i="3" s="1"/>
  <c r="H18" i="3"/>
  <c r="A19" i="3"/>
  <c r="B19" i="3"/>
  <c r="C19" i="3"/>
  <c r="Y19" i="3" s="1"/>
  <c r="AC19" i="3" s="1"/>
  <c r="D19" i="3"/>
  <c r="E19" i="3"/>
  <c r="F19" i="3"/>
  <c r="G19" i="3"/>
  <c r="K19" i="3" s="1"/>
  <c r="H19" i="3"/>
  <c r="A20" i="3"/>
  <c r="B20" i="3"/>
  <c r="C20" i="3"/>
  <c r="D20" i="3"/>
  <c r="E20" i="3"/>
  <c r="U20" i="3" s="1"/>
  <c r="F20" i="3"/>
  <c r="G20" i="3"/>
  <c r="H20" i="3"/>
  <c r="A21" i="3"/>
  <c r="B21" i="3"/>
  <c r="C21" i="3"/>
  <c r="Y21" i="3" s="1"/>
  <c r="AC21" i="3" s="1"/>
  <c r="D21" i="3"/>
  <c r="E21" i="3"/>
  <c r="U21" i="3" s="1"/>
  <c r="F21" i="3"/>
  <c r="G21" i="3"/>
  <c r="H21" i="3"/>
  <c r="A22" i="3"/>
  <c r="B22" i="3"/>
  <c r="C22" i="3"/>
  <c r="Y22" i="3" s="1"/>
  <c r="AC22" i="3" s="1"/>
  <c r="D22" i="3"/>
  <c r="E22" i="3"/>
  <c r="U22" i="3" s="1"/>
  <c r="F22" i="3"/>
  <c r="G22" i="3"/>
  <c r="H22" i="3"/>
  <c r="A23" i="3"/>
  <c r="B23" i="3"/>
  <c r="C23" i="3"/>
  <c r="D23" i="3"/>
  <c r="E23" i="3"/>
  <c r="F23" i="3"/>
  <c r="G23" i="3"/>
  <c r="K23" i="3" s="1"/>
  <c r="H23" i="3"/>
  <c r="A24" i="3"/>
  <c r="B24" i="3"/>
  <c r="C24" i="3"/>
  <c r="Y24" i="3" s="1"/>
  <c r="AC24" i="3" s="1"/>
  <c r="D24" i="3"/>
  <c r="E24" i="3"/>
  <c r="U24" i="3" s="1"/>
  <c r="F24" i="3"/>
  <c r="G24" i="3"/>
  <c r="H24" i="3"/>
  <c r="A25" i="3"/>
  <c r="B25" i="3"/>
  <c r="C25" i="3"/>
  <c r="Y25" i="3" s="1"/>
  <c r="AC25" i="3" s="1"/>
  <c r="D25" i="3"/>
  <c r="E25" i="3"/>
  <c r="U25" i="3" s="1"/>
  <c r="F25" i="3"/>
  <c r="G25" i="3"/>
  <c r="H25" i="3"/>
  <c r="A26" i="3"/>
  <c r="B26" i="3"/>
  <c r="C26" i="3"/>
  <c r="D26" i="3"/>
  <c r="E26" i="3"/>
  <c r="U26" i="3" s="1"/>
  <c r="F26" i="3"/>
  <c r="G26" i="3"/>
  <c r="K26" i="3" s="1"/>
  <c r="H26" i="3"/>
  <c r="A27" i="3"/>
  <c r="B27" i="3"/>
  <c r="C27" i="3"/>
  <c r="Y27" i="3" s="1"/>
  <c r="AC27" i="3" s="1"/>
  <c r="D27" i="3"/>
  <c r="E27" i="3"/>
  <c r="F27" i="3"/>
  <c r="G27" i="3"/>
  <c r="H27" i="3"/>
  <c r="A28" i="3"/>
  <c r="B28" i="3"/>
  <c r="C28" i="3"/>
  <c r="Y28" i="3" s="1"/>
  <c r="AC28" i="3" s="1"/>
  <c r="D28" i="3"/>
  <c r="E28" i="3"/>
  <c r="U28" i="3" s="1"/>
  <c r="F28" i="3"/>
  <c r="G28" i="3"/>
  <c r="K28" i="3" s="1"/>
  <c r="H28" i="3"/>
  <c r="A29" i="3"/>
  <c r="B29" i="3"/>
  <c r="C29" i="3"/>
  <c r="D29" i="3"/>
  <c r="E29" i="3"/>
  <c r="U29" i="3" s="1"/>
  <c r="F29" i="3"/>
  <c r="G29" i="3"/>
  <c r="K29" i="3" s="1"/>
  <c r="H29" i="3"/>
  <c r="A30" i="3"/>
  <c r="B30" i="3"/>
  <c r="C30" i="3"/>
  <c r="Y30" i="3" s="1"/>
  <c r="AC30" i="3" s="1"/>
  <c r="D30" i="3"/>
  <c r="E30" i="3"/>
  <c r="U30" i="3" s="1"/>
  <c r="F30" i="3"/>
  <c r="G30" i="3"/>
  <c r="K30" i="3" s="1"/>
  <c r="H30" i="3"/>
  <c r="A31" i="3"/>
  <c r="B31" i="3"/>
  <c r="C31" i="3"/>
  <c r="Y31" i="3" s="1"/>
  <c r="D31" i="3"/>
  <c r="E31" i="3"/>
  <c r="F31" i="3"/>
  <c r="G31" i="3"/>
  <c r="K31" i="3" s="1"/>
  <c r="H31" i="3"/>
  <c r="A32" i="3"/>
  <c r="B32" i="3"/>
  <c r="C32" i="3"/>
  <c r="D32" i="3"/>
  <c r="E32" i="3"/>
  <c r="U32" i="3" s="1"/>
  <c r="F32" i="3"/>
  <c r="G32" i="3"/>
  <c r="H32" i="3"/>
  <c r="A33" i="3"/>
  <c r="B33" i="3"/>
  <c r="C33" i="3"/>
  <c r="Y33" i="3" s="1"/>
  <c r="AC33" i="3" s="1"/>
  <c r="D33" i="3"/>
  <c r="E33" i="3"/>
  <c r="U33" i="3" s="1"/>
  <c r="F33" i="3"/>
  <c r="G33" i="3"/>
  <c r="H33" i="3"/>
  <c r="A34" i="3"/>
  <c r="B34" i="3"/>
  <c r="C34" i="3"/>
  <c r="Y34" i="3" s="1"/>
  <c r="AC34" i="3" s="1"/>
  <c r="D34" i="3"/>
  <c r="E34" i="3"/>
  <c r="U34" i="3" s="1"/>
  <c r="F34" i="3"/>
  <c r="G34" i="3"/>
  <c r="H34" i="3"/>
  <c r="A35" i="3"/>
  <c r="B35" i="3"/>
  <c r="C35" i="3"/>
  <c r="D35" i="3"/>
  <c r="E35" i="3"/>
  <c r="F35" i="3"/>
  <c r="G35" i="3"/>
  <c r="K35" i="3" s="1"/>
  <c r="H35" i="3"/>
  <c r="A36" i="3"/>
  <c r="B36" i="3"/>
  <c r="C36" i="3"/>
  <c r="Y36" i="3" s="1"/>
  <c r="AC36" i="3" s="1"/>
  <c r="D36" i="3"/>
  <c r="E36" i="3"/>
  <c r="U36" i="3" s="1"/>
  <c r="F36" i="3"/>
  <c r="G36" i="3"/>
  <c r="H36" i="3"/>
  <c r="A37" i="3"/>
  <c r="B37" i="3"/>
  <c r="C37" i="3"/>
  <c r="Y37" i="3" s="1"/>
  <c r="AC37" i="3" s="1"/>
  <c r="D37" i="3"/>
  <c r="E37" i="3"/>
  <c r="U37" i="3" s="1"/>
  <c r="F37" i="3"/>
  <c r="G37" i="3"/>
  <c r="H37" i="3"/>
  <c r="A38" i="3"/>
  <c r="B38" i="3"/>
  <c r="C38" i="3"/>
  <c r="D38" i="3"/>
  <c r="E38" i="3"/>
  <c r="U38" i="3" s="1"/>
  <c r="F38" i="3"/>
  <c r="G38" i="3"/>
  <c r="K38" i="3" s="1"/>
  <c r="H38" i="3"/>
  <c r="A39" i="3"/>
  <c r="B39" i="3"/>
  <c r="C39" i="3"/>
  <c r="Y39" i="3" s="1"/>
  <c r="AC39" i="3" s="1"/>
  <c r="D39" i="3"/>
  <c r="E39" i="3"/>
  <c r="U39" i="3" s="1"/>
  <c r="F39" i="3"/>
  <c r="G39" i="3"/>
  <c r="H39" i="3"/>
  <c r="A40" i="3"/>
  <c r="B40" i="3"/>
  <c r="C40" i="3"/>
  <c r="Y40" i="3" s="1"/>
  <c r="AC40" i="3" s="1"/>
  <c r="D40" i="3"/>
  <c r="E40" i="3"/>
  <c r="U40" i="3" s="1"/>
  <c r="F40" i="3"/>
  <c r="G40" i="3"/>
  <c r="K40" i="3" s="1"/>
  <c r="H40" i="3"/>
  <c r="A41" i="3"/>
  <c r="B41" i="3"/>
  <c r="C41" i="3"/>
  <c r="D41" i="3"/>
  <c r="E41" i="3"/>
  <c r="U41" i="3" s="1"/>
  <c r="F41" i="3"/>
  <c r="G41" i="3"/>
  <c r="K41" i="3" s="1"/>
  <c r="H41" i="3"/>
  <c r="A42" i="3"/>
  <c r="B42" i="3"/>
  <c r="C42" i="3"/>
  <c r="Y42" i="3" s="1"/>
  <c r="AC42" i="3" s="1"/>
  <c r="D42" i="3"/>
  <c r="E42" i="3"/>
  <c r="U42" i="3" s="1"/>
  <c r="F42" i="3"/>
  <c r="G42" i="3"/>
  <c r="K42" i="3" s="1"/>
  <c r="H42" i="3"/>
  <c r="A43" i="3"/>
  <c r="B43" i="3"/>
  <c r="C43" i="3"/>
  <c r="Y43" i="3" s="1"/>
  <c r="D43" i="3"/>
  <c r="E43" i="3"/>
  <c r="F43" i="3"/>
  <c r="G43" i="3"/>
  <c r="K43" i="3" s="1"/>
  <c r="H43" i="3"/>
  <c r="A44" i="3"/>
  <c r="B44" i="3"/>
  <c r="C44" i="3"/>
  <c r="D44" i="3"/>
  <c r="E44" i="3"/>
  <c r="U44" i="3" s="1"/>
  <c r="F44" i="3"/>
  <c r="G44" i="3"/>
  <c r="H44" i="3"/>
  <c r="A45" i="3"/>
  <c r="B45" i="3"/>
  <c r="C45" i="3"/>
  <c r="Y45" i="3" s="1"/>
  <c r="AC45" i="3" s="1"/>
  <c r="D45" i="3"/>
  <c r="E45" i="3"/>
  <c r="U45" i="3" s="1"/>
  <c r="F45" i="3"/>
  <c r="G45" i="3"/>
  <c r="H45" i="3"/>
  <c r="A46" i="3"/>
  <c r="B46" i="3"/>
  <c r="C46" i="3"/>
  <c r="Y46" i="3" s="1"/>
  <c r="AC46" i="3" s="1"/>
  <c r="D46" i="3"/>
  <c r="E46" i="3"/>
  <c r="U46" i="3" s="1"/>
  <c r="F46" i="3"/>
  <c r="G46" i="3"/>
  <c r="H46" i="3"/>
  <c r="A47" i="3"/>
  <c r="B47" i="3"/>
  <c r="C47" i="3"/>
  <c r="D47" i="3"/>
  <c r="E47" i="3"/>
  <c r="F47" i="3"/>
  <c r="G47" i="3"/>
  <c r="K47" i="3" s="1"/>
  <c r="H47" i="3"/>
  <c r="A48" i="3"/>
  <c r="B48" i="3"/>
  <c r="C48" i="3"/>
  <c r="Y48" i="3" s="1"/>
  <c r="AC48" i="3" s="1"/>
  <c r="D48" i="3"/>
  <c r="E48" i="3"/>
  <c r="U48" i="3" s="1"/>
  <c r="F48" i="3"/>
  <c r="G48" i="3"/>
  <c r="H48" i="3"/>
  <c r="A49" i="3"/>
  <c r="B49" i="3"/>
  <c r="C49" i="3"/>
  <c r="Y49" i="3" s="1"/>
  <c r="AC49" i="3" s="1"/>
  <c r="D49" i="3"/>
  <c r="E49" i="3"/>
  <c r="F49" i="3"/>
  <c r="G49" i="3"/>
  <c r="H49" i="3"/>
  <c r="A50" i="3"/>
  <c r="B50" i="3"/>
  <c r="C50" i="3"/>
  <c r="D50" i="3"/>
  <c r="E50" i="3"/>
  <c r="F50" i="3"/>
  <c r="G50" i="3"/>
  <c r="K50" i="3" s="1"/>
  <c r="H50" i="3"/>
  <c r="A51" i="3"/>
  <c r="B51" i="3"/>
  <c r="C51" i="3"/>
  <c r="Y51" i="3" s="1"/>
  <c r="AC51" i="3" s="1"/>
  <c r="D51" i="3"/>
  <c r="E51" i="3"/>
  <c r="U51" i="3" s="1"/>
  <c r="F51" i="3"/>
  <c r="G51" i="3"/>
  <c r="H51" i="3"/>
  <c r="A52" i="3"/>
  <c r="B52" i="3"/>
  <c r="C52" i="3"/>
  <c r="Y52" i="3" s="1"/>
  <c r="AC52" i="3" s="1"/>
  <c r="D52" i="3"/>
  <c r="E52" i="3"/>
  <c r="U52" i="3" s="1"/>
  <c r="F52" i="3"/>
  <c r="G52" i="3"/>
  <c r="K52" i="3" s="1"/>
  <c r="H52" i="3"/>
  <c r="A53" i="3"/>
  <c r="B53" i="3"/>
  <c r="C53" i="3"/>
  <c r="D53" i="3"/>
  <c r="E53" i="3"/>
  <c r="U53" i="3" s="1"/>
  <c r="F53" i="3"/>
  <c r="G53" i="3"/>
  <c r="K53" i="3" s="1"/>
  <c r="H53" i="3"/>
  <c r="A54" i="3"/>
  <c r="B54" i="3"/>
  <c r="C54" i="3"/>
  <c r="Y54" i="3" s="1"/>
  <c r="AC54" i="3" s="1"/>
  <c r="D54" i="3"/>
  <c r="E54" i="3"/>
  <c r="F54" i="3"/>
  <c r="G54" i="3"/>
  <c r="K54" i="3" s="1"/>
  <c r="H54" i="3"/>
  <c r="A55" i="3"/>
  <c r="B55" i="3"/>
  <c r="C55" i="3"/>
  <c r="Y55" i="3" s="1"/>
  <c r="D55" i="3"/>
  <c r="E55" i="3"/>
  <c r="U55" i="3" s="1"/>
  <c r="F55" i="3"/>
  <c r="G55" i="3"/>
  <c r="K55" i="3" s="1"/>
  <c r="H55" i="3"/>
  <c r="A56" i="3"/>
  <c r="B56" i="3"/>
  <c r="C56" i="3"/>
  <c r="D56" i="3"/>
  <c r="E56" i="3"/>
  <c r="F56" i="3"/>
  <c r="G56" i="3"/>
  <c r="H56" i="3"/>
  <c r="A57" i="3"/>
  <c r="B57" i="3"/>
  <c r="C57" i="3"/>
  <c r="Y57" i="3" s="1"/>
  <c r="AC57" i="3" s="1"/>
  <c r="D57" i="3"/>
  <c r="E57" i="3"/>
  <c r="U57" i="3" s="1"/>
  <c r="F57" i="3"/>
  <c r="G57" i="3"/>
  <c r="H57" i="3"/>
  <c r="A58" i="3"/>
  <c r="B58" i="3"/>
  <c r="C58" i="3"/>
  <c r="Y58" i="3" s="1"/>
  <c r="AC58" i="3" s="1"/>
  <c r="D58" i="3"/>
  <c r="E58" i="3"/>
  <c r="F58" i="3"/>
  <c r="G58" i="3"/>
  <c r="H58" i="3"/>
  <c r="A59" i="3"/>
  <c r="B59" i="3"/>
  <c r="C59" i="3"/>
  <c r="D59" i="3"/>
  <c r="E59" i="3"/>
  <c r="F59" i="3"/>
  <c r="G59" i="3"/>
  <c r="H59" i="3"/>
  <c r="A60" i="3"/>
  <c r="B60" i="3"/>
  <c r="C60" i="3"/>
  <c r="Y60" i="3" s="1"/>
  <c r="AC60" i="3" s="1"/>
  <c r="D60" i="3"/>
  <c r="E60" i="3"/>
  <c r="U60" i="3" s="1"/>
  <c r="F60" i="3"/>
  <c r="G60" i="3"/>
  <c r="H60" i="3"/>
  <c r="A61" i="3"/>
  <c r="B61" i="3"/>
  <c r="C61" i="3"/>
  <c r="Y61" i="3" s="1"/>
  <c r="AC61" i="3" s="1"/>
  <c r="D61" i="3"/>
  <c r="E61" i="3"/>
  <c r="U61" i="3" s="1"/>
  <c r="F61" i="3"/>
  <c r="G61" i="3"/>
  <c r="H61" i="3"/>
  <c r="A62" i="3"/>
  <c r="B62" i="3"/>
  <c r="C62" i="3"/>
  <c r="D62" i="3"/>
  <c r="E62" i="3"/>
  <c r="F62" i="3"/>
  <c r="G62" i="3"/>
  <c r="H62" i="3"/>
  <c r="A63" i="3"/>
  <c r="B63" i="3"/>
  <c r="C63" i="3"/>
  <c r="Y63" i="3" s="1"/>
  <c r="AC63" i="3" s="1"/>
  <c r="D63" i="3"/>
  <c r="E63" i="3"/>
  <c r="U63" i="3" s="1"/>
  <c r="F63" i="3"/>
  <c r="G63" i="3"/>
  <c r="H63" i="3"/>
  <c r="A64" i="3"/>
  <c r="B64" i="3"/>
  <c r="C64" i="3"/>
  <c r="Y64" i="3" s="1"/>
  <c r="AC64" i="3" s="1"/>
  <c r="D64" i="3"/>
  <c r="E64" i="3"/>
  <c r="U64" i="3" s="1"/>
  <c r="F64" i="3"/>
  <c r="G64" i="3"/>
  <c r="H64" i="3"/>
  <c r="A65" i="3"/>
  <c r="B65" i="3"/>
  <c r="C65" i="3"/>
  <c r="D65" i="3"/>
  <c r="E65" i="3"/>
  <c r="F65" i="3"/>
  <c r="G65" i="3"/>
  <c r="H65" i="3"/>
  <c r="A66" i="3"/>
  <c r="B66" i="3"/>
  <c r="C66" i="3"/>
  <c r="Y66" i="3" s="1"/>
  <c r="AC66" i="3" s="1"/>
  <c r="D66" i="3"/>
  <c r="E66" i="3"/>
  <c r="F66" i="3"/>
  <c r="G66" i="3"/>
  <c r="K66" i="3" s="1"/>
  <c r="H66" i="3"/>
  <c r="A67" i="3"/>
  <c r="B67" i="3"/>
  <c r="C67" i="3"/>
  <c r="Y67" i="3" s="1"/>
  <c r="D67" i="3"/>
  <c r="E67" i="3"/>
  <c r="U67" i="3" s="1"/>
  <c r="F67" i="3"/>
  <c r="G67" i="3"/>
  <c r="H67" i="3"/>
  <c r="A68" i="3"/>
  <c r="B68" i="3"/>
  <c r="C68" i="3"/>
  <c r="D68" i="3"/>
  <c r="E68" i="3"/>
  <c r="F68" i="3"/>
  <c r="G68" i="3"/>
  <c r="K68" i="3" s="1"/>
  <c r="H68" i="3"/>
  <c r="A69" i="3"/>
  <c r="B69" i="3"/>
  <c r="C69" i="3"/>
  <c r="Y69" i="3" s="1"/>
  <c r="AC69" i="3" s="1"/>
  <c r="D69" i="3"/>
  <c r="E69" i="3"/>
  <c r="U69" i="3" s="1"/>
  <c r="F69" i="3"/>
  <c r="G69" i="3"/>
  <c r="H69" i="3"/>
  <c r="A70" i="3"/>
  <c r="B70" i="3"/>
  <c r="C70" i="3"/>
  <c r="Y70" i="3" s="1"/>
  <c r="AC70" i="3" s="1"/>
  <c r="D70" i="3"/>
  <c r="E70" i="3"/>
  <c r="F70" i="3"/>
  <c r="G70" i="3"/>
  <c r="H70" i="3"/>
  <c r="A71" i="3"/>
  <c r="B71" i="3"/>
  <c r="C71" i="3"/>
  <c r="D71" i="3"/>
  <c r="E71" i="3"/>
  <c r="F71" i="3"/>
  <c r="G71" i="3"/>
  <c r="H71" i="3"/>
  <c r="A72" i="3"/>
  <c r="B72" i="3"/>
  <c r="C72" i="3"/>
  <c r="Y72" i="3" s="1"/>
  <c r="AC72" i="3" s="1"/>
  <c r="D72" i="3"/>
  <c r="E72" i="3"/>
  <c r="U72" i="3" s="1"/>
  <c r="F72" i="3"/>
  <c r="G72" i="3"/>
  <c r="H72" i="3"/>
  <c r="A73" i="3"/>
  <c r="B73" i="3"/>
  <c r="C73" i="3"/>
  <c r="Y73" i="3" s="1"/>
  <c r="AC73" i="3" s="1"/>
  <c r="D73" i="3"/>
  <c r="E73" i="3"/>
  <c r="U73" i="3" s="1"/>
  <c r="F73" i="3"/>
  <c r="G73" i="3"/>
  <c r="H73" i="3"/>
  <c r="A74" i="3"/>
  <c r="B74" i="3"/>
  <c r="C74" i="3"/>
  <c r="D74" i="3"/>
  <c r="E74" i="3"/>
  <c r="F74" i="3"/>
  <c r="G74" i="3"/>
  <c r="H74" i="3"/>
  <c r="A75" i="3"/>
  <c r="B75" i="3"/>
  <c r="C75" i="3"/>
  <c r="Y75" i="3" s="1"/>
  <c r="AC75" i="3" s="1"/>
  <c r="D75" i="3"/>
  <c r="E75" i="3"/>
  <c r="U75" i="3" s="1"/>
  <c r="F75" i="3"/>
  <c r="G75" i="3"/>
  <c r="H75" i="3"/>
  <c r="A76" i="3"/>
  <c r="B76" i="3"/>
  <c r="C76" i="3"/>
  <c r="Y76" i="3" s="1"/>
  <c r="AC76" i="3" s="1"/>
  <c r="D76" i="3"/>
  <c r="E76" i="3"/>
  <c r="U76" i="3" s="1"/>
  <c r="F76" i="3"/>
  <c r="G76" i="3"/>
  <c r="H76" i="3"/>
  <c r="A77" i="3"/>
  <c r="B77" i="3"/>
  <c r="C77" i="3"/>
  <c r="D77" i="3"/>
  <c r="E77" i="3"/>
  <c r="F77" i="3"/>
  <c r="G77" i="3"/>
  <c r="H77" i="3"/>
  <c r="A78" i="3"/>
  <c r="B78" i="3"/>
  <c r="C78" i="3"/>
  <c r="Y78" i="3" s="1"/>
  <c r="AC78" i="3" s="1"/>
  <c r="D78" i="3"/>
  <c r="E78" i="3"/>
  <c r="U78" i="3" s="1"/>
  <c r="F78" i="3"/>
  <c r="G78" i="3"/>
  <c r="K78" i="3" s="1"/>
  <c r="H78" i="3"/>
  <c r="A79" i="3"/>
  <c r="B79" i="3"/>
  <c r="C79" i="3"/>
  <c r="Y79" i="3" s="1"/>
  <c r="D79" i="3"/>
  <c r="E79" i="3"/>
  <c r="U79" i="3" s="1"/>
  <c r="F79" i="3"/>
  <c r="G79" i="3"/>
  <c r="H79" i="3"/>
  <c r="A80" i="3"/>
  <c r="B80" i="3"/>
  <c r="C80" i="3"/>
  <c r="D80" i="3"/>
  <c r="E80" i="3"/>
  <c r="F80" i="3"/>
  <c r="G80" i="3"/>
  <c r="K80" i="3" s="1"/>
  <c r="H80" i="3"/>
  <c r="A81" i="3"/>
  <c r="B81" i="3"/>
  <c r="C81" i="3"/>
  <c r="Y81" i="3" s="1"/>
  <c r="AC81" i="3" s="1"/>
  <c r="D81" i="3"/>
  <c r="E81" i="3"/>
  <c r="U81" i="3" s="1"/>
  <c r="F81" i="3"/>
  <c r="G81" i="3"/>
  <c r="H81" i="3"/>
  <c r="A82" i="3"/>
  <c r="B82" i="3"/>
  <c r="C82" i="3"/>
  <c r="Y82" i="3" s="1"/>
  <c r="AC82" i="3" s="1"/>
  <c r="D82" i="3"/>
  <c r="E82" i="3"/>
  <c r="F82" i="3"/>
  <c r="G82" i="3"/>
  <c r="H82" i="3"/>
  <c r="A83" i="3"/>
  <c r="B83" i="3"/>
  <c r="C83" i="3"/>
  <c r="Y83" i="3" s="1"/>
  <c r="AC83" i="3" s="1"/>
  <c r="D83" i="3"/>
  <c r="E83" i="3"/>
  <c r="F83" i="3"/>
  <c r="G83" i="3"/>
  <c r="H83" i="3"/>
  <c r="A84" i="3"/>
  <c r="B84" i="3"/>
  <c r="C84" i="3"/>
  <c r="Y84" i="3" s="1"/>
  <c r="AC84" i="3" s="1"/>
  <c r="D84" i="3"/>
  <c r="E84" i="3"/>
  <c r="F84" i="3"/>
  <c r="G84" i="3"/>
  <c r="H84" i="3"/>
  <c r="A85" i="3"/>
  <c r="B85" i="3"/>
  <c r="C85" i="3"/>
  <c r="Y85" i="3" s="1"/>
  <c r="AC85" i="3" s="1"/>
  <c r="D85" i="3"/>
  <c r="E85" i="3"/>
  <c r="U85" i="3" s="1"/>
  <c r="F85" i="3"/>
  <c r="G85" i="3"/>
  <c r="H85" i="3"/>
  <c r="A86" i="3"/>
  <c r="B86" i="3"/>
  <c r="C86" i="3"/>
  <c r="Y86" i="3" s="1"/>
  <c r="AC86" i="3" s="1"/>
  <c r="D86" i="3"/>
  <c r="E86" i="3"/>
  <c r="F86" i="3"/>
  <c r="G86" i="3"/>
  <c r="H86" i="3"/>
  <c r="A87" i="3"/>
  <c r="B87" i="3"/>
  <c r="C87" i="3"/>
  <c r="Y87" i="3" s="1"/>
  <c r="AC87" i="3" s="1"/>
  <c r="D87" i="3"/>
  <c r="E87" i="3"/>
  <c r="U87" i="3" s="1"/>
  <c r="F87" i="3"/>
  <c r="G87" i="3"/>
  <c r="H87" i="3"/>
  <c r="A88" i="3"/>
  <c r="B88" i="3"/>
  <c r="C88" i="3"/>
  <c r="Y88" i="3" s="1"/>
  <c r="AC88" i="3" s="1"/>
  <c r="D88" i="3"/>
  <c r="E88" i="3"/>
  <c r="F88" i="3"/>
  <c r="G88" i="3"/>
  <c r="H88" i="3"/>
  <c r="A89" i="3"/>
  <c r="B89" i="3"/>
  <c r="C89" i="3"/>
  <c r="Y89" i="3" s="1"/>
  <c r="AC89" i="3" s="1"/>
  <c r="D89" i="3"/>
  <c r="E89" i="3"/>
  <c r="F89" i="3"/>
  <c r="G89" i="3"/>
  <c r="H89" i="3"/>
  <c r="A90" i="3"/>
  <c r="B90" i="3"/>
  <c r="C90" i="3"/>
  <c r="Y90" i="3" s="1"/>
  <c r="AC90" i="3" s="1"/>
  <c r="D90" i="3"/>
  <c r="E90" i="3"/>
  <c r="U90" i="3" s="1"/>
  <c r="F90" i="3"/>
  <c r="G90" i="3"/>
  <c r="H90" i="3"/>
  <c r="A91" i="3"/>
  <c r="B91" i="3"/>
  <c r="C91" i="3"/>
  <c r="Y91" i="3" s="1"/>
  <c r="D91" i="3"/>
  <c r="E91" i="3"/>
  <c r="U91" i="3" s="1"/>
  <c r="F91" i="3"/>
  <c r="G91" i="3"/>
  <c r="H91" i="3"/>
  <c r="A92" i="3"/>
  <c r="B92" i="3"/>
  <c r="C92" i="3"/>
  <c r="Y92" i="3" s="1"/>
  <c r="AC92" i="3" s="1"/>
  <c r="D92" i="3"/>
  <c r="E92" i="3"/>
  <c r="F92" i="3"/>
  <c r="G92" i="3"/>
  <c r="H92" i="3"/>
  <c r="A93" i="3"/>
  <c r="B93" i="3"/>
  <c r="C93" i="3"/>
  <c r="Y93" i="3" s="1"/>
  <c r="AC93" i="3" s="1"/>
  <c r="D93" i="3"/>
  <c r="E93" i="3"/>
  <c r="F93" i="3"/>
  <c r="G93" i="3"/>
  <c r="H93" i="3"/>
  <c r="A94" i="3"/>
  <c r="B94" i="3"/>
  <c r="C94" i="3"/>
  <c r="Y94" i="3" s="1"/>
  <c r="AC94" i="3" s="1"/>
  <c r="D94" i="3"/>
  <c r="E94" i="3"/>
  <c r="U94" i="3" s="1"/>
  <c r="F94" i="3"/>
  <c r="G94" i="3"/>
  <c r="H94" i="3"/>
  <c r="A95" i="3"/>
  <c r="B95" i="3"/>
  <c r="C95" i="3"/>
  <c r="Y95" i="3" s="1"/>
  <c r="AC95" i="3" s="1"/>
  <c r="D95" i="3"/>
  <c r="E95" i="3"/>
  <c r="F95" i="3"/>
  <c r="G95" i="3"/>
  <c r="H95" i="3"/>
  <c r="A96" i="3"/>
  <c r="B96" i="3"/>
  <c r="C96" i="3"/>
  <c r="Y96" i="3" s="1"/>
  <c r="AC96" i="3" s="1"/>
  <c r="D96" i="3"/>
  <c r="E96" i="3"/>
  <c r="U96" i="3" s="1"/>
  <c r="F96" i="3"/>
  <c r="G96" i="3"/>
  <c r="H96" i="3"/>
  <c r="A97" i="3"/>
  <c r="B97" i="3"/>
  <c r="C97" i="3"/>
  <c r="Y97" i="3" s="1"/>
  <c r="AC97" i="3" s="1"/>
  <c r="D97" i="3"/>
  <c r="E97" i="3"/>
  <c r="F97" i="3"/>
  <c r="G97" i="3"/>
  <c r="H97" i="3"/>
  <c r="A98" i="3"/>
  <c r="B98" i="3"/>
  <c r="C98" i="3"/>
  <c r="Y98" i="3" s="1"/>
  <c r="AC98" i="3" s="1"/>
  <c r="D98" i="3"/>
  <c r="E98" i="3"/>
  <c r="F98" i="3"/>
  <c r="G98" i="3"/>
  <c r="H98" i="3"/>
  <c r="A99" i="3"/>
  <c r="B99" i="3"/>
  <c r="C99" i="3"/>
  <c r="Y99" i="3" s="1"/>
  <c r="AC99" i="3" s="1"/>
  <c r="D99" i="3"/>
  <c r="E99" i="3"/>
  <c r="U99" i="3" s="1"/>
  <c r="F99" i="3"/>
  <c r="G99" i="3"/>
  <c r="H99" i="3"/>
  <c r="A100" i="3"/>
  <c r="B100" i="3"/>
  <c r="C100" i="3"/>
  <c r="Y100" i="3" s="1"/>
  <c r="AC100" i="3" s="1"/>
  <c r="D100" i="3"/>
  <c r="E100" i="3"/>
  <c r="U100" i="3" s="1"/>
  <c r="F100" i="3"/>
  <c r="G100" i="3"/>
  <c r="H100" i="3"/>
  <c r="A101" i="3"/>
  <c r="B101" i="3"/>
  <c r="C101" i="3"/>
  <c r="Y101" i="3" s="1"/>
  <c r="AC101" i="3" s="1"/>
  <c r="D101" i="3"/>
  <c r="E101" i="3"/>
  <c r="F101" i="3"/>
  <c r="G101" i="3"/>
  <c r="H101" i="3"/>
  <c r="A102" i="3"/>
  <c r="B102" i="3"/>
  <c r="C102" i="3"/>
  <c r="Y102" i="3" s="1"/>
  <c r="AC102" i="3" s="1"/>
  <c r="D102" i="3"/>
  <c r="E102" i="3"/>
  <c r="U102" i="3" s="1"/>
  <c r="F102" i="3"/>
  <c r="G102" i="3"/>
  <c r="H102" i="3"/>
  <c r="A103" i="3"/>
  <c r="B103" i="3"/>
  <c r="C103" i="3"/>
  <c r="Y103" i="3" s="1"/>
  <c r="D103" i="3"/>
  <c r="E103" i="3"/>
  <c r="U103" i="3" s="1"/>
  <c r="F103" i="3"/>
  <c r="G103" i="3"/>
  <c r="H103" i="3"/>
  <c r="A104" i="3"/>
  <c r="B104" i="3"/>
  <c r="C104" i="3"/>
  <c r="Y104" i="3" s="1"/>
  <c r="AC104" i="3" s="1"/>
  <c r="D104" i="3"/>
  <c r="E104" i="3"/>
  <c r="U104" i="3" s="1"/>
  <c r="F104" i="3"/>
  <c r="G104" i="3"/>
  <c r="H104" i="3"/>
  <c r="A105" i="3"/>
  <c r="B105" i="3"/>
  <c r="C105" i="3"/>
  <c r="Y105" i="3" s="1"/>
  <c r="AC105" i="3" s="1"/>
  <c r="D105" i="3"/>
  <c r="E105" i="3"/>
  <c r="F105" i="3"/>
  <c r="G105" i="3"/>
  <c r="H105" i="3"/>
  <c r="A106" i="3"/>
  <c r="B106" i="3"/>
  <c r="C106" i="3"/>
  <c r="Y106" i="3" s="1"/>
  <c r="AC106" i="3" s="1"/>
  <c r="D106" i="3"/>
  <c r="E106" i="3"/>
  <c r="U106" i="3" s="1"/>
  <c r="F106" i="3"/>
  <c r="G106" i="3"/>
  <c r="H106" i="3"/>
  <c r="A107" i="3"/>
  <c r="B107" i="3"/>
  <c r="C107" i="3"/>
  <c r="Y107" i="3" s="1"/>
  <c r="AC107" i="3" s="1"/>
  <c r="D107" i="3"/>
  <c r="E107" i="3"/>
  <c r="U107" i="3" s="1"/>
  <c r="F107" i="3"/>
  <c r="G107" i="3"/>
  <c r="H107" i="3"/>
  <c r="A108" i="3"/>
  <c r="B108" i="3"/>
  <c r="C108" i="3"/>
  <c r="Y108" i="3" s="1"/>
  <c r="AC108" i="3" s="1"/>
  <c r="D108" i="3"/>
  <c r="E108" i="3"/>
  <c r="U108" i="3" s="1"/>
  <c r="F108" i="3"/>
  <c r="G108" i="3"/>
  <c r="H108" i="3"/>
  <c r="A109" i="3"/>
  <c r="B109" i="3"/>
  <c r="C109" i="3"/>
  <c r="Y109" i="3" s="1"/>
  <c r="AC109" i="3" s="1"/>
  <c r="D109" i="3"/>
  <c r="E109" i="3"/>
  <c r="F109" i="3"/>
  <c r="G109" i="3"/>
  <c r="H109" i="3"/>
  <c r="A110" i="3"/>
  <c r="B110" i="3"/>
  <c r="C110" i="3"/>
  <c r="Y110" i="3" s="1"/>
  <c r="AC110" i="3" s="1"/>
  <c r="D110" i="3"/>
  <c r="E110" i="3"/>
  <c r="U110" i="3" s="1"/>
  <c r="F110" i="3"/>
  <c r="G110" i="3"/>
  <c r="H110" i="3"/>
  <c r="A111" i="3"/>
  <c r="B111" i="3"/>
  <c r="C111" i="3"/>
  <c r="Y111" i="3" s="1"/>
  <c r="AC111" i="3" s="1"/>
  <c r="D111" i="3"/>
  <c r="E111" i="3"/>
  <c r="U111" i="3" s="1"/>
  <c r="F111" i="3"/>
  <c r="G111" i="3"/>
  <c r="H111" i="3"/>
  <c r="A112" i="3"/>
  <c r="B112" i="3"/>
  <c r="C112" i="3"/>
  <c r="Y112" i="3" s="1"/>
  <c r="AC112" i="3" s="1"/>
  <c r="D112" i="3"/>
  <c r="E112" i="3"/>
  <c r="U112" i="3" s="1"/>
  <c r="F112" i="3"/>
  <c r="G112" i="3"/>
  <c r="H112" i="3"/>
  <c r="A113" i="3"/>
  <c r="B113" i="3"/>
  <c r="C113" i="3"/>
  <c r="Y113" i="3" s="1"/>
  <c r="AC113" i="3" s="1"/>
  <c r="D113" i="3"/>
  <c r="E113" i="3"/>
  <c r="U113" i="3" s="1"/>
  <c r="F113" i="3"/>
  <c r="G113" i="3"/>
  <c r="H113" i="3"/>
  <c r="A114" i="3"/>
  <c r="B114" i="3"/>
  <c r="C114" i="3"/>
  <c r="Y114" i="3" s="1"/>
  <c r="AC114" i="3" s="1"/>
  <c r="D114" i="3"/>
  <c r="E114" i="3"/>
  <c r="U114" i="3" s="1"/>
  <c r="F114" i="3"/>
  <c r="G114" i="3"/>
  <c r="H114" i="3"/>
  <c r="A115" i="3"/>
  <c r="B115" i="3"/>
  <c r="C115" i="3"/>
  <c r="Y115" i="3" s="1"/>
  <c r="D115" i="3"/>
  <c r="E115" i="3"/>
  <c r="U115" i="3" s="1"/>
  <c r="F115" i="3"/>
  <c r="G115" i="3"/>
  <c r="H115" i="3"/>
  <c r="A116" i="3"/>
  <c r="B116" i="3"/>
  <c r="C116" i="3"/>
  <c r="Y116" i="3" s="1"/>
  <c r="AC116" i="3" s="1"/>
  <c r="D116" i="3"/>
  <c r="E116" i="3"/>
  <c r="U116" i="3" s="1"/>
  <c r="F116" i="3"/>
  <c r="G116" i="3"/>
  <c r="H116" i="3"/>
  <c r="A117" i="3"/>
  <c r="B117" i="3"/>
  <c r="C117" i="3"/>
  <c r="Y117" i="3" s="1"/>
  <c r="AC117" i="3" s="1"/>
  <c r="D117" i="3"/>
  <c r="E117" i="3"/>
  <c r="U117" i="3" s="1"/>
  <c r="F117" i="3"/>
  <c r="G117" i="3"/>
  <c r="H117" i="3"/>
  <c r="A118" i="3"/>
  <c r="B118" i="3"/>
  <c r="C118" i="3"/>
  <c r="Y118" i="3" s="1"/>
  <c r="AC118" i="3" s="1"/>
  <c r="D118" i="3"/>
  <c r="E118" i="3"/>
  <c r="F118" i="3"/>
  <c r="G118" i="3"/>
  <c r="H118" i="3"/>
  <c r="A119" i="3"/>
  <c r="B119" i="3"/>
  <c r="C119" i="3"/>
  <c r="Y119" i="3" s="1"/>
  <c r="AC119" i="3" s="1"/>
  <c r="D119" i="3"/>
  <c r="E119" i="3"/>
  <c r="U119" i="3" s="1"/>
  <c r="F119" i="3"/>
  <c r="G119" i="3"/>
  <c r="H119" i="3"/>
  <c r="A120" i="3"/>
  <c r="B120" i="3"/>
  <c r="C120" i="3"/>
  <c r="Y120" i="3" s="1"/>
  <c r="AC120" i="3" s="1"/>
  <c r="D120" i="3"/>
  <c r="E120" i="3"/>
  <c r="U120" i="3" s="1"/>
  <c r="F120" i="3"/>
  <c r="G120" i="3"/>
  <c r="H120" i="3"/>
  <c r="A121" i="3"/>
  <c r="B121" i="3"/>
  <c r="C121" i="3"/>
  <c r="Y121" i="3" s="1"/>
  <c r="AC121" i="3" s="1"/>
  <c r="D121" i="3"/>
  <c r="E121" i="3"/>
  <c r="U121" i="3" s="1"/>
  <c r="F121" i="3"/>
  <c r="G121" i="3"/>
  <c r="H121" i="3"/>
  <c r="A122" i="3"/>
  <c r="B122" i="3"/>
  <c r="C122" i="3"/>
  <c r="Y122" i="3" s="1"/>
  <c r="AC122" i="3" s="1"/>
  <c r="D122" i="3"/>
  <c r="E122" i="3"/>
  <c r="U122" i="3" s="1"/>
  <c r="F122" i="3"/>
  <c r="G122" i="3"/>
  <c r="H122" i="3"/>
  <c r="A123" i="3"/>
  <c r="B123" i="3"/>
  <c r="C123" i="3"/>
  <c r="Y123" i="3" s="1"/>
  <c r="AC123" i="3" s="1"/>
  <c r="D123" i="3"/>
  <c r="E123" i="3"/>
  <c r="F123" i="3"/>
  <c r="G123" i="3"/>
  <c r="H123" i="3"/>
  <c r="A124" i="3"/>
  <c r="B124" i="3"/>
  <c r="C124" i="3"/>
  <c r="Y124" i="3" s="1"/>
  <c r="AC124" i="3" s="1"/>
  <c r="D124" i="3"/>
  <c r="E124" i="3"/>
  <c r="F124" i="3"/>
  <c r="G124" i="3"/>
  <c r="H124" i="3"/>
  <c r="A125" i="3"/>
  <c r="B125" i="3"/>
  <c r="C125" i="3"/>
  <c r="Y125" i="3" s="1"/>
  <c r="AC125" i="3" s="1"/>
  <c r="D125" i="3"/>
  <c r="E125" i="3"/>
  <c r="U125" i="3" s="1"/>
  <c r="F125" i="3"/>
  <c r="G125" i="3"/>
  <c r="H125" i="3"/>
  <c r="A126" i="3"/>
  <c r="B126" i="3"/>
  <c r="C126" i="3"/>
  <c r="Y126" i="3" s="1"/>
  <c r="AC126" i="3" s="1"/>
  <c r="D126" i="3"/>
  <c r="E126" i="3"/>
  <c r="U126" i="3" s="1"/>
  <c r="F126" i="3"/>
  <c r="G126" i="3"/>
  <c r="H126" i="3"/>
  <c r="A127" i="3"/>
  <c r="B127" i="3"/>
  <c r="C127" i="3"/>
  <c r="Y127" i="3" s="1"/>
  <c r="D127" i="3"/>
  <c r="E127" i="3"/>
  <c r="U127" i="3" s="1"/>
  <c r="F127" i="3"/>
  <c r="G127" i="3"/>
  <c r="H127" i="3"/>
  <c r="A128" i="3"/>
  <c r="B128" i="3"/>
  <c r="C128" i="3"/>
  <c r="Y128" i="3" s="1"/>
  <c r="AC128" i="3" s="1"/>
  <c r="D128" i="3"/>
  <c r="E128" i="3"/>
  <c r="F128" i="3"/>
  <c r="G128" i="3"/>
  <c r="H128" i="3"/>
  <c r="A129" i="3"/>
  <c r="B129" i="3"/>
  <c r="C129" i="3"/>
  <c r="Y129" i="3" s="1"/>
  <c r="AC129" i="3" s="1"/>
  <c r="D129" i="3"/>
  <c r="E129" i="3"/>
  <c r="U129" i="3" s="1"/>
  <c r="F129" i="3"/>
  <c r="G129" i="3"/>
  <c r="H129" i="3"/>
  <c r="A130" i="3"/>
  <c r="B130" i="3"/>
  <c r="C130" i="3"/>
  <c r="Y130" i="3" s="1"/>
  <c r="AC130" i="3" s="1"/>
  <c r="D130" i="3"/>
  <c r="E130" i="3"/>
  <c r="U130" i="3" s="1"/>
  <c r="F130" i="3"/>
  <c r="G130" i="3"/>
  <c r="H130" i="3"/>
  <c r="A131" i="3"/>
  <c r="B131" i="3"/>
  <c r="C131" i="3"/>
  <c r="Y131" i="3" s="1"/>
  <c r="AC131" i="3" s="1"/>
  <c r="D131" i="3"/>
  <c r="E131" i="3"/>
  <c r="U131" i="3" s="1"/>
  <c r="F131" i="3"/>
  <c r="G131" i="3"/>
  <c r="H131" i="3"/>
  <c r="A132" i="3"/>
  <c r="B132" i="3"/>
  <c r="C132" i="3"/>
  <c r="Y132" i="3" s="1"/>
  <c r="AC132" i="3" s="1"/>
  <c r="D132" i="3"/>
  <c r="E132" i="3"/>
  <c r="F132" i="3"/>
  <c r="G132" i="3"/>
  <c r="H132" i="3"/>
  <c r="A133" i="3"/>
  <c r="B133" i="3"/>
  <c r="C133" i="3"/>
  <c r="Y133" i="3" s="1"/>
  <c r="AC133" i="3" s="1"/>
  <c r="D133" i="3"/>
  <c r="E133" i="3"/>
  <c r="U133" i="3" s="1"/>
  <c r="F133" i="3"/>
  <c r="G133" i="3"/>
  <c r="H133" i="3"/>
  <c r="A134" i="3"/>
  <c r="B134" i="3"/>
  <c r="C134" i="3"/>
  <c r="Y134" i="3" s="1"/>
  <c r="AC134" i="3" s="1"/>
  <c r="D134" i="3"/>
  <c r="E134" i="3"/>
  <c r="U134" i="3" s="1"/>
  <c r="F134" i="3"/>
  <c r="G134" i="3"/>
  <c r="H134" i="3"/>
  <c r="A135" i="3"/>
  <c r="B135" i="3"/>
  <c r="C135" i="3"/>
  <c r="Y135" i="3" s="1"/>
  <c r="AC135" i="3" s="1"/>
  <c r="D135" i="3"/>
  <c r="E135" i="3"/>
  <c r="U135" i="3" s="1"/>
  <c r="F135" i="3"/>
  <c r="G135" i="3"/>
  <c r="H135" i="3"/>
  <c r="A136" i="3"/>
  <c r="B136" i="3"/>
  <c r="C136" i="3"/>
  <c r="Y136" i="3" s="1"/>
  <c r="AC136" i="3" s="1"/>
  <c r="D136" i="3"/>
  <c r="E136" i="3"/>
  <c r="F136" i="3"/>
  <c r="G136" i="3"/>
  <c r="H136" i="3"/>
  <c r="A137" i="3"/>
  <c r="B137" i="3"/>
  <c r="C137" i="3"/>
  <c r="Y137" i="3" s="1"/>
  <c r="AC137" i="3" s="1"/>
  <c r="D137" i="3"/>
  <c r="E137" i="3"/>
  <c r="U137" i="3" s="1"/>
  <c r="F137" i="3"/>
  <c r="G137" i="3"/>
  <c r="H137" i="3"/>
  <c r="A138" i="3"/>
  <c r="B138" i="3"/>
  <c r="C138" i="3"/>
  <c r="Y138" i="3" s="1"/>
  <c r="AC138" i="3" s="1"/>
  <c r="D138" i="3"/>
  <c r="E138" i="3"/>
  <c r="U138" i="3" s="1"/>
  <c r="F138" i="3"/>
  <c r="G138" i="3"/>
  <c r="H138" i="3"/>
  <c r="A139" i="3"/>
  <c r="B139" i="3"/>
  <c r="C139" i="3"/>
  <c r="Y139" i="3" s="1"/>
  <c r="D139" i="3"/>
  <c r="E139" i="3"/>
  <c r="U139" i="3" s="1"/>
  <c r="F139" i="3"/>
  <c r="G139" i="3"/>
  <c r="H139" i="3"/>
  <c r="A140" i="3"/>
  <c r="B140" i="3"/>
  <c r="C140" i="3"/>
  <c r="Y140" i="3" s="1"/>
  <c r="AC140" i="3" s="1"/>
  <c r="D140" i="3"/>
  <c r="E140" i="3"/>
  <c r="F140" i="3"/>
  <c r="G140" i="3"/>
  <c r="H140" i="3"/>
  <c r="A141" i="3"/>
  <c r="B141" i="3"/>
  <c r="C141" i="3"/>
  <c r="Y141" i="3" s="1"/>
  <c r="AC141" i="3" s="1"/>
  <c r="D141" i="3"/>
  <c r="E141" i="3"/>
  <c r="U141" i="3" s="1"/>
  <c r="F141" i="3"/>
  <c r="G141" i="3"/>
  <c r="H141" i="3"/>
  <c r="A142" i="3"/>
  <c r="B142" i="3"/>
  <c r="C142" i="3"/>
  <c r="Y142" i="3" s="1"/>
  <c r="AC142" i="3" s="1"/>
  <c r="D142" i="3"/>
  <c r="E142" i="3"/>
  <c r="U142" i="3" s="1"/>
  <c r="F142" i="3"/>
  <c r="G142" i="3"/>
  <c r="H142" i="3"/>
  <c r="A143" i="3"/>
  <c r="B143" i="3"/>
  <c r="C143" i="3"/>
  <c r="Y143" i="3" s="1"/>
  <c r="AC143" i="3" s="1"/>
  <c r="D143" i="3"/>
  <c r="E143" i="3"/>
  <c r="U143" i="3" s="1"/>
  <c r="F143" i="3"/>
  <c r="G143" i="3"/>
  <c r="H143" i="3"/>
  <c r="A144" i="3"/>
  <c r="B144" i="3"/>
  <c r="C144" i="3"/>
  <c r="Y144" i="3" s="1"/>
  <c r="AC144" i="3" s="1"/>
  <c r="D144" i="3"/>
  <c r="E144" i="3"/>
  <c r="F144" i="3"/>
  <c r="G144" i="3"/>
  <c r="H144" i="3"/>
  <c r="A145" i="3"/>
  <c r="B145" i="3"/>
  <c r="C145" i="3"/>
  <c r="Y145" i="3" s="1"/>
  <c r="AC145" i="3" s="1"/>
  <c r="D145" i="3"/>
  <c r="E145" i="3"/>
  <c r="U145" i="3" s="1"/>
  <c r="F145" i="3"/>
  <c r="G145" i="3"/>
  <c r="H145" i="3"/>
  <c r="A146" i="3"/>
  <c r="B146" i="3"/>
  <c r="C146" i="3"/>
  <c r="Y146" i="3" s="1"/>
  <c r="AC146" i="3" s="1"/>
  <c r="D146" i="3"/>
  <c r="E146" i="3"/>
  <c r="U146" i="3" s="1"/>
  <c r="F146" i="3"/>
  <c r="G146" i="3"/>
  <c r="H146" i="3"/>
  <c r="A147" i="3"/>
  <c r="B147" i="3"/>
  <c r="C147" i="3"/>
  <c r="Y147" i="3" s="1"/>
  <c r="D147" i="3"/>
  <c r="E147" i="3"/>
  <c r="U147" i="3" s="1"/>
  <c r="F147" i="3"/>
  <c r="G147" i="3"/>
  <c r="H147" i="3"/>
  <c r="A148" i="3"/>
  <c r="B148" i="3"/>
  <c r="C148" i="3"/>
  <c r="Y148" i="3" s="1"/>
  <c r="AC148" i="3" s="1"/>
  <c r="D148" i="3"/>
  <c r="E148" i="3"/>
  <c r="U148" i="3" s="1"/>
  <c r="F148" i="3"/>
  <c r="G148" i="3"/>
  <c r="H148" i="3"/>
  <c r="A149" i="3"/>
  <c r="B149" i="3"/>
  <c r="C149" i="3"/>
  <c r="Y149" i="3" s="1"/>
  <c r="AC149" i="3" s="1"/>
  <c r="D149" i="3"/>
  <c r="E149" i="3"/>
  <c r="F149" i="3"/>
  <c r="G149" i="3"/>
  <c r="H149" i="3"/>
  <c r="A150" i="3"/>
  <c r="B150" i="3"/>
  <c r="C150" i="3"/>
  <c r="Y150" i="3" s="1"/>
  <c r="AC150" i="3" s="1"/>
  <c r="D150" i="3"/>
  <c r="E150" i="3"/>
  <c r="U150" i="3" s="1"/>
  <c r="F150" i="3"/>
  <c r="G150" i="3"/>
  <c r="H150" i="3"/>
  <c r="A151" i="3"/>
  <c r="B151" i="3"/>
  <c r="C151" i="3"/>
  <c r="Y151" i="3" s="1"/>
  <c r="D151" i="3"/>
  <c r="E151" i="3"/>
  <c r="U151" i="3" s="1"/>
  <c r="F151" i="3"/>
  <c r="G151" i="3"/>
  <c r="H151" i="3"/>
  <c r="A152" i="3"/>
  <c r="B152" i="3"/>
  <c r="C152" i="3"/>
  <c r="Y152" i="3" s="1"/>
  <c r="AC152" i="3" s="1"/>
  <c r="D152" i="3"/>
  <c r="E152" i="3"/>
  <c r="U152" i="3" s="1"/>
  <c r="F152" i="3"/>
  <c r="G152" i="3"/>
  <c r="H152" i="3"/>
  <c r="A153" i="3"/>
  <c r="B153" i="3"/>
  <c r="C153" i="3"/>
  <c r="Y153" i="3" s="1"/>
  <c r="AC153" i="3" s="1"/>
  <c r="D153" i="3"/>
  <c r="E153" i="3"/>
  <c r="U153" i="3" s="1"/>
  <c r="F153" i="3"/>
  <c r="G153" i="3"/>
  <c r="H153" i="3"/>
  <c r="A154" i="3"/>
  <c r="B154" i="3"/>
  <c r="C154" i="3"/>
  <c r="Y154" i="3" s="1"/>
  <c r="AC154" i="3" s="1"/>
  <c r="D154" i="3"/>
  <c r="E154" i="3"/>
  <c r="U154" i="3" s="1"/>
  <c r="F154" i="3"/>
  <c r="G154" i="3"/>
  <c r="H154" i="3"/>
  <c r="A155" i="3"/>
  <c r="B155" i="3"/>
  <c r="C155" i="3"/>
  <c r="Y155" i="3" s="1"/>
  <c r="AC155" i="3" s="1"/>
  <c r="D155" i="3"/>
  <c r="E155" i="3"/>
  <c r="U155" i="3" s="1"/>
  <c r="F155" i="3"/>
  <c r="G155" i="3"/>
  <c r="H155" i="3"/>
  <c r="A156" i="3"/>
  <c r="B156" i="3"/>
  <c r="C156" i="3"/>
  <c r="Y156" i="3" s="1"/>
  <c r="AC156" i="3" s="1"/>
  <c r="D156" i="3"/>
  <c r="E156" i="3"/>
  <c r="U156" i="3" s="1"/>
  <c r="F156" i="3"/>
  <c r="G156" i="3"/>
  <c r="H156" i="3"/>
  <c r="A157" i="3"/>
  <c r="B157" i="3"/>
  <c r="C157" i="3"/>
  <c r="Y157" i="3" s="1"/>
  <c r="AC157" i="3" s="1"/>
  <c r="D157" i="3"/>
  <c r="E157" i="3"/>
  <c r="F157" i="3"/>
  <c r="G157" i="3"/>
  <c r="H157" i="3"/>
  <c r="A158" i="3"/>
  <c r="B158" i="3"/>
  <c r="C158" i="3"/>
  <c r="Y158" i="3" s="1"/>
  <c r="AC158" i="3" s="1"/>
  <c r="D158" i="3"/>
  <c r="E158" i="3"/>
  <c r="U158" i="3" s="1"/>
  <c r="F158" i="3"/>
  <c r="G158" i="3"/>
  <c r="H158" i="3"/>
  <c r="A159" i="3"/>
  <c r="B159" i="3"/>
  <c r="C159" i="3"/>
  <c r="Y159" i="3" s="1"/>
  <c r="AC159" i="3" s="1"/>
  <c r="D159" i="3"/>
  <c r="E159" i="3"/>
  <c r="F159" i="3"/>
  <c r="G159" i="3"/>
  <c r="W159" i="3" s="1"/>
  <c r="H159" i="3"/>
  <c r="A160" i="3"/>
  <c r="B160" i="3"/>
  <c r="C160" i="3"/>
  <c r="Y160" i="3" s="1"/>
  <c r="AC160" i="3" s="1"/>
  <c r="D160" i="3"/>
  <c r="E160" i="3"/>
  <c r="U160" i="3" s="1"/>
  <c r="F160" i="3"/>
  <c r="G160" i="3"/>
  <c r="H160" i="3"/>
  <c r="A161" i="3"/>
  <c r="B161" i="3"/>
  <c r="C161" i="3"/>
  <c r="Y161" i="3" s="1"/>
  <c r="AC161" i="3" s="1"/>
  <c r="D161" i="3"/>
  <c r="E161" i="3"/>
  <c r="U161" i="3" s="1"/>
  <c r="F161" i="3"/>
  <c r="G161" i="3"/>
  <c r="H161" i="3"/>
  <c r="A162" i="3"/>
  <c r="B162" i="3"/>
  <c r="C162" i="3"/>
  <c r="Y162" i="3" s="1"/>
  <c r="AC162" i="3" s="1"/>
  <c r="D162" i="3"/>
  <c r="E162" i="3"/>
  <c r="U162" i="3" s="1"/>
  <c r="F162" i="3"/>
  <c r="G162" i="3"/>
  <c r="H162" i="3"/>
  <c r="A163" i="3"/>
  <c r="B163" i="3"/>
  <c r="C163" i="3"/>
  <c r="Y163" i="3" s="1"/>
  <c r="D163" i="3"/>
  <c r="E163" i="3"/>
  <c r="U163" i="3" s="1"/>
  <c r="F163" i="3"/>
  <c r="G163" i="3"/>
  <c r="H163" i="3"/>
  <c r="A164" i="3"/>
  <c r="B164" i="3"/>
  <c r="C164" i="3"/>
  <c r="Y164" i="3" s="1"/>
  <c r="AC164" i="3" s="1"/>
  <c r="D164" i="3"/>
  <c r="E164" i="3"/>
  <c r="U164" i="3" s="1"/>
  <c r="F164" i="3"/>
  <c r="G164" i="3"/>
  <c r="H164" i="3"/>
  <c r="A165" i="3"/>
  <c r="B165" i="3"/>
  <c r="C165" i="3"/>
  <c r="Y165" i="3" s="1"/>
  <c r="AC165" i="3" s="1"/>
  <c r="D165" i="3"/>
  <c r="E165" i="3"/>
  <c r="U165" i="3" s="1"/>
  <c r="F165" i="3"/>
  <c r="G165" i="3"/>
  <c r="H165" i="3"/>
  <c r="A166" i="3"/>
  <c r="B166" i="3"/>
  <c r="C166" i="3"/>
  <c r="Y166" i="3" s="1"/>
  <c r="AC166" i="3" s="1"/>
  <c r="D166" i="3"/>
  <c r="E166" i="3"/>
  <c r="U166" i="3" s="1"/>
  <c r="F166" i="3"/>
  <c r="G166" i="3"/>
  <c r="H166" i="3"/>
  <c r="A167" i="3"/>
  <c r="B167" i="3"/>
  <c r="C167" i="3"/>
  <c r="Y167" i="3" s="1"/>
  <c r="AC167" i="3" s="1"/>
  <c r="D167" i="3"/>
  <c r="E167" i="3"/>
  <c r="U167" i="3" s="1"/>
  <c r="F167" i="3"/>
  <c r="G167" i="3"/>
  <c r="H167" i="3"/>
  <c r="A168" i="3"/>
  <c r="B168" i="3"/>
  <c r="C168" i="3"/>
  <c r="Y168" i="3" s="1"/>
  <c r="AC168" i="3" s="1"/>
  <c r="D168" i="3"/>
  <c r="E168" i="3"/>
  <c r="U168" i="3" s="1"/>
  <c r="F168" i="3"/>
  <c r="G168" i="3"/>
  <c r="H168" i="3"/>
  <c r="A169" i="3"/>
  <c r="B169" i="3"/>
  <c r="C169" i="3"/>
  <c r="Y169" i="3" s="1"/>
  <c r="AC169" i="3" s="1"/>
  <c r="D169" i="3"/>
  <c r="E169" i="3"/>
  <c r="U169" i="3" s="1"/>
  <c r="F169" i="3"/>
  <c r="G169" i="3"/>
  <c r="H169" i="3"/>
  <c r="A170" i="3"/>
  <c r="B170" i="3"/>
  <c r="C170" i="3"/>
  <c r="Y170" i="3" s="1"/>
  <c r="AC170" i="3" s="1"/>
  <c r="D170" i="3"/>
  <c r="E170" i="3"/>
  <c r="U170" i="3" s="1"/>
  <c r="F170" i="3"/>
  <c r="G170" i="3"/>
  <c r="H170" i="3"/>
  <c r="A171" i="3"/>
  <c r="B171" i="3"/>
  <c r="C171" i="3"/>
  <c r="Y171" i="3" s="1"/>
  <c r="AC171" i="3" s="1"/>
  <c r="D171" i="3"/>
  <c r="E171" i="3"/>
  <c r="U171" i="3" s="1"/>
  <c r="F171" i="3"/>
  <c r="G171" i="3"/>
  <c r="H171" i="3"/>
  <c r="A172" i="3"/>
  <c r="B172" i="3"/>
  <c r="C172" i="3"/>
  <c r="Y172" i="3" s="1"/>
  <c r="AC172" i="3" s="1"/>
  <c r="D172" i="3"/>
  <c r="E172" i="3"/>
  <c r="U172" i="3" s="1"/>
  <c r="F172" i="3"/>
  <c r="G172" i="3"/>
  <c r="H172" i="3"/>
  <c r="A173" i="3"/>
  <c r="B173" i="3"/>
  <c r="C173" i="3"/>
  <c r="Y173" i="3" s="1"/>
  <c r="AC173" i="3" s="1"/>
  <c r="D173" i="3"/>
  <c r="E173" i="3"/>
  <c r="U173" i="3" s="1"/>
  <c r="F173" i="3"/>
  <c r="G173" i="3"/>
  <c r="H173" i="3"/>
  <c r="A174" i="3"/>
  <c r="B174" i="3"/>
  <c r="C174" i="3"/>
  <c r="Y174" i="3" s="1"/>
  <c r="AC174" i="3" s="1"/>
  <c r="D174" i="3"/>
  <c r="E174" i="3"/>
  <c r="U174" i="3" s="1"/>
  <c r="F174" i="3"/>
  <c r="G174" i="3"/>
  <c r="H174" i="3"/>
  <c r="H179" i="30"/>
  <c r="H178" i="30"/>
  <c r="H177" i="30"/>
  <c r="H176" i="30"/>
  <c r="H175" i="30"/>
  <c r="H174" i="30"/>
  <c r="H173" i="30"/>
  <c r="H172" i="30"/>
  <c r="H171" i="30"/>
  <c r="H170" i="30"/>
  <c r="H169" i="30"/>
  <c r="H168" i="30"/>
  <c r="O168" i="30" s="1"/>
  <c r="H167" i="30"/>
  <c r="H166" i="30"/>
  <c r="H165" i="30"/>
  <c r="H164" i="30"/>
  <c r="H163" i="30"/>
  <c r="H162" i="30"/>
  <c r="H161" i="30"/>
  <c r="H160" i="30"/>
  <c r="H159" i="30"/>
  <c r="H158" i="30"/>
  <c r="H157" i="30"/>
  <c r="H156" i="30"/>
  <c r="H155" i="30"/>
  <c r="H154" i="30"/>
  <c r="H153" i="30"/>
  <c r="H152" i="30"/>
  <c r="H151" i="30"/>
  <c r="H150" i="30"/>
  <c r="H149" i="30"/>
  <c r="H148" i="30"/>
  <c r="H147" i="30"/>
  <c r="H146" i="30"/>
  <c r="H145" i="30"/>
  <c r="H144" i="30"/>
  <c r="H143" i="30"/>
  <c r="H142" i="30"/>
  <c r="H141" i="30"/>
  <c r="H140" i="30"/>
  <c r="H139" i="30"/>
  <c r="H138" i="30"/>
  <c r="H137" i="30"/>
  <c r="H136" i="30"/>
  <c r="H135" i="30"/>
  <c r="H134" i="30"/>
  <c r="H133" i="30"/>
  <c r="H132" i="30"/>
  <c r="H131" i="30"/>
  <c r="H130" i="30"/>
  <c r="H129" i="30"/>
  <c r="H128" i="30"/>
  <c r="H127" i="30"/>
  <c r="H126" i="30"/>
  <c r="H125" i="30"/>
  <c r="H124" i="30"/>
  <c r="H123" i="30"/>
  <c r="H122" i="30"/>
  <c r="H121" i="30"/>
  <c r="H120" i="30"/>
  <c r="H119" i="30"/>
  <c r="H118" i="30"/>
  <c r="H117" i="30"/>
  <c r="H116" i="30"/>
  <c r="H115" i="30"/>
  <c r="H114" i="30"/>
  <c r="H113" i="30"/>
  <c r="H112" i="30"/>
  <c r="H111" i="30"/>
  <c r="H110" i="30"/>
  <c r="H109" i="30"/>
  <c r="H108" i="30"/>
  <c r="O108" i="30" s="1"/>
  <c r="H107" i="30"/>
  <c r="H106" i="30"/>
  <c r="H105" i="30"/>
  <c r="H104" i="30"/>
  <c r="H103" i="30"/>
  <c r="H102" i="30"/>
  <c r="H101" i="30"/>
  <c r="H100" i="30"/>
  <c r="H99" i="30"/>
  <c r="H98" i="30"/>
  <c r="H97" i="30"/>
  <c r="H96" i="30"/>
  <c r="O96" i="30" s="1"/>
  <c r="H95" i="30"/>
  <c r="H94" i="30"/>
  <c r="H93" i="30"/>
  <c r="H92" i="30"/>
  <c r="H91" i="30"/>
  <c r="H90" i="30"/>
  <c r="H89" i="30"/>
  <c r="H88" i="30"/>
  <c r="H87" i="30"/>
  <c r="H86" i="30"/>
  <c r="H85" i="30"/>
  <c r="H84" i="30"/>
  <c r="O84" i="30" s="1"/>
  <c r="H83" i="30"/>
  <c r="H82" i="30"/>
  <c r="H81" i="30"/>
  <c r="H80" i="30"/>
  <c r="H79" i="30"/>
  <c r="H78" i="30"/>
  <c r="H77" i="30"/>
  <c r="H76" i="30"/>
  <c r="H75" i="30"/>
  <c r="H74" i="30"/>
  <c r="H73" i="30"/>
  <c r="H72" i="30"/>
  <c r="O72" i="30" s="1"/>
  <c r="H71" i="30"/>
  <c r="H70" i="30"/>
  <c r="H69" i="30"/>
  <c r="H68" i="30"/>
  <c r="H67" i="30"/>
  <c r="H66" i="30"/>
  <c r="H65" i="30"/>
  <c r="H64" i="30"/>
  <c r="H63" i="30"/>
  <c r="H62" i="30"/>
  <c r="H61" i="30"/>
  <c r="H60" i="30"/>
  <c r="O60" i="30" s="1"/>
  <c r="H59" i="30"/>
  <c r="H58" i="30"/>
  <c r="H57" i="30"/>
  <c r="H56" i="30"/>
  <c r="H55" i="30"/>
  <c r="H54" i="30"/>
  <c r="H53" i="30"/>
  <c r="H52" i="30"/>
  <c r="H51" i="30"/>
  <c r="H50" i="30"/>
  <c r="H49" i="30"/>
  <c r="H48" i="30"/>
  <c r="O48" i="30" s="1"/>
  <c r="H47" i="30"/>
  <c r="H46" i="30"/>
  <c r="H45" i="30"/>
  <c r="H44" i="30"/>
  <c r="H43" i="30"/>
  <c r="H42" i="30"/>
  <c r="H41" i="30"/>
  <c r="H40" i="30"/>
  <c r="H39" i="30"/>
  <c r="H38" i="30"/>
  <c r="H37" i="30"/>
  <c r="H36" i="30"/>
  <c r="O36" i="30" s="1"/>
  <c r="H35" i="30"/>
  <c r="H34" i="30"/>
  <c r="H33" i="30"/>
  <c r="H32" i="30"/>
  <c r="H31" i="30"/>
  <c r="H30" i="30"/>
  <c r="H29" i="30"/>
  <c r="H28" i="30"/>
  <c r="H27" i="30"/>
  <c r="H26" i="30"/>
  <c r="H25" i="30"/>
  <c r="H24" i="30"/>
  <c r="O24" i="30" s="1"/>
  <c r="H23" i="30"/>
  <c r="H22" i="30"/>
  <c r="H21" i="30"/>
  <c r="H20" i="30"/>
  <c r="I15" i="30"/>
  <c r="O15" i="30"/>
  <c r="I16" i="30"/>
  <c r="O16" i="30"/>
  <c r="I17" i="30"/>
  <c r="O17" i="30"/>
  <c r="I18" i="30"/>
  <c r="O18" i="30"/>
  <c r="I19" i="30"/>
  <c r="O19" i="30"/>
  <c r="I20" i="30"/>
  <c r="O20" i="30"/>
  <c r="I21" i="30"/>
  <c r="O21" i="30"/>
  <c r="I22" i="30"/>
  <c r="O22" i="30"/>
  <c r="I23" i="30"/>
  <c r="O23" i="30"/>
  <c r="I24" i="30"/>
  <c r="I25" i="30"/>
  <c r="O25" i="30"/>
  <c r="I26" i="30"/>
  <c r="O26" i="30"/>
  <c r="I27" i="30"/>
  <c r="O27" i="30"/>
  <c r="I28" i="30"/>
  <c r="O28" i="30"/>
  <c r="I29" i="30"/>
  <c r="O29" i="30"/>
  <c r="I30" i="30"/>
  <c r="O30" i="30"/>
  <c r="I31" i="30"/>
  <c r="O31" i="30"/>
  <c r="I32" i="30"/>
  <c r="O32" i="30"/>
  <c r="I33" i="30"/>
  <c r="O33" i="30"/>
  <c r="I34" i="30"/>
  <c r="O34" i="30"/>
  <c r="I35" i="30"/>
  <c r="O35" i="30"/>
  <c r="I36" i="30"/>
  <c r="I37" i="30"/>
  <c r="O37" i="30"/>
  <c r="I38" i="30"/>
  <c r="O38" i="30"/>
  <c r="I39" i="30"/>
  <c r="O39" i="30"/>
  <c r="I40" i="30"/>
  <c r="O40" i="30"/>
  <c r="I41" i="30"/>
  <c r="O41" i="30"/>
  <c r="I42" i="30"/>
  <c r="O42" i="30"/>
  <c r="I43" i="30"/>
  <c r="O43" i="30"/>
  <c r="I44" i="30"/>
  <c r="O44" i="30"/>
  <c r="I45" i="30"/>
  <c r="O45" i="30"/>
  <c r="I46" i="30"/>
  <c r="O46" i="30"/>
  <c r="I47" i="30"/>
  <c r="O47" i="30"/>
  <c r="I48" i="30"/>
  <c r="I49" i="30"/>
  <c r="O49" i="30"/>
  <c r="I50" i="30"/>
  <c r="O50" i="30"/>
  <c r="I51" i="30"/>
  <c r="O51" i="30"/>
  <c r="I52" i="30"/>
  <c r="O52" i="30"/>
  <c r="I53" i="30"/>
  <c r="O53" i="30"/>
  <c r="I54" i="30"/>
  <c r="O54" i="30"/>
  <c r="I55" i="30"/>
  <c r="O55" i="30"/>
  <c r="I56" i="30"/>
  <c r="O56" i="30"/>
  <c r="I57" i="30"/>
  <c r="O57" i="30"/>
  <c r="I58" i="30"/>
  <c r="O58" i="30"/>
  <c r="I59" i="30"/>
  <c r="O59" i="30"/>
  <c r="I60" i="30"/>
  <c r="I61" i="30"/>
  <c r="O61" i="30"/>
  <c r="I62" i="30"/>
  <c r="O62" i="30"/>
  <c r="I63" i="30"/>
  <c r="O63" i="30"/>
  <c r="I64" i="30"/>
  <c r="O64" i="30"/>
  <c r="I65" i="30"/>
  <c r="O65" i="30"/>
  <c r="I66" i="30"/>
  <c r="O66" i="30"/>
  <c r="I67" i="30"/>
  <c r="O67" i="30"/>
  <c r="I68" i="30"/>
  <c r="O68" i="30"/>
  <c r="I69" i="30"/>
  <c r="O69" i="30"/>
  <c r="I70" i="30"/>
  <c r="O70" i="30"/>
  <c r="I71" i="30"/>
  <c r="O71" i="30"/>
  <c r="I72" i="30"/>
  <c r="I73" i="30"/>
  <c r="O73" i="30"/>
  <c r="I74" i="30"/>
  <c r="O74" i="30"/>
  <c r="I75" i="30"/>
  <c r="O75" i="30"/>
  <c r="I76" i="30"/>
  <c r="O76" i="30"/>
  <c r="I77" i="30"/>
  <c r="O77" i="30"/>
  <c r="I78" i="30"/>
  <c r="O78" i="30"/>
  <c r="I79" i="30"/>
  <c r="O79" i="30"/>
  <c r="I80" i="30"/>
  <c r="O80" i="30"/>
  <c r="I81" i="30"/>
  <c r="O81" i="30"/>
  <c r="I82" i="30"/>
  <c r="O82" i="30"/>
  <c r="I83" i="30"/>
  <c r="O83" i="30"/>
  <c r="I84" i="30"/>
  <c r="I85" i="30"/>
  <c r="O85" i="30"/>
  <c r="I86" i="30"/>
  <c r="O86" i="30"/>
  <c r="I87" i="30"/>
  <c r="O87" i="30"/>
  <c r="I88" i="30"/>
  <c r="O88" i="30"/>
  <c r="I89" i="30"/>
  <c r="O89" i="30"/>
  <c r="I90" i="30"/>
  <c r="O90" i="30"/>
  <c r="I91" i="30"/>
  <c r="O91" i="30"/>
  <c r="I92" i="30"/>
  <c r="O92" i="30"/>
  <c r="I93" i="30"/>
  <c r="O93" i="30"/>
  <c r="I94" i="30"/>
  <c r="O94" i="30"/>
  <c r="I95" i="30"/>
  <c r="O95" i="30"/>
  <c r="I96" i="30"/>
  <c r="I97" i="30"/>
  <c r="O97" i="30"/>
  <c r="I98" i="30"/>
  <c r="O98" i="30"/>
  <c r="I99" i="30"/>
  <c r="O99" i="30"/>
  <c r="I100" i="30"/>
  <c r="O100" i="30"/>
  <c r="I101" i="30"/>
  <c r="O101" i="30"/>
  <c r="I102" i="30"/>
  <c r="O102" i="30"/>
  <c r="I103" i="30"/>
  <c r="O103" i="30"/>
  <c r="I104" i="30"/>
  <c r="O104" i="30"/>
  <c r="I105" i="30"/>
  <c r="O105" i="30"/>
  <c r="I106" i="30"/>
  <c r="O106" i="30"/>
  <c r="I107" i="30"/>
  <c r="O107" i="30"/>
  <c r="I108" i="30"/>
  <c r="K108" i="30"/>
  <c r="I109" i="30"/>
  <c r="O109" i="30"/>
  <c r="I110" i="30"/>
  <c r="O110" i="30"/>
  <c r="I111" i="30"/>
  <c r="O111" i="30"/>
  <c r="I112" i="30"/>
  <c r="O112" i="30"/>
  <c r="I113" i="30"/>
  <c r="O113" i="30"/>
  <c r="I114" i="30"/>
  <c r="O114" i="30"/>
  <c r="I115" i="30"/>
  <c r="O115" i="30"/>
  <c r="I116" i="30"/>
  <c r="O116" i="30"/>
  <c r="I117" i="30"/>
  <c r="L117" i="30"/>
  <c r="O117" i="30"/>
  <c r="I118" i="30"/>
  <c r="O118" i="30"/>
  <c r="I119" i="30"/>
  <c r="O119" i="30"/>
  <c r="I120" i="30"/>
  <c r="O120" i="30"/>
  <c r="I121" i="30"/>
  <c r="O121" i="30"/>
  <c r="I122" i="30"/>
  <c r="O122" i="30"/>
  <c r="I123" i="30"/>
  <c r="O123" i="30"/>
  <c r="I124" i="30"/>
  <c r="O124" i="30"/>
  <c r="I125" i="30"/>
  <c r="O125" i="30"/>
  <c r="I126" i="30"/>
  <c r="O126" i="30"/>
  <c r="I127" i="30"/>
  <c r="O127" i="30"/>
  <c r="I128" i="30"/>
  <c r="O128" i="30"/>
  <c r="I129" i="30"/>
  <c r="L129" i="30"/>
  <c r="O129" i="30"/>
  <c r="I130" i="30"/>
  <c r="O130" i="30"/>
  <c r="I131" i="30"/>
  <c r="O131" i="30"/>
  <c r="I132" i="30"/>
  <c r="O132" i="30"/>
  <c r="I133" i="30"/>
  <c r="O133" i="30"/>
  <c r="I134" i="30"/>
  <c r="O134" i="30"/>
  <c r="I135" i="30"/>
  <c r="O135" i="30"/>
  <c r="I136" i="30"/>
  <c r="O136" i="30"/>
  <c r="I137" i="30"/>
  <c r="O137" i="30"/>
  <c r="I138" i="30"/>
  <c r="O138" i="30"/>
  <c r="I139" i="30"/>
  <c r="O139" i="30"/>
  <c r="I140" i="30"/>
  <c r="O140" i="30"/>
  <c r="I141" i="30"/>
  <c r="L141" i="30"/>
  <c r="O141" i="30"/>
  <c r="I142" i="30"/>
  <c r="O142" i="30"/>
  <c r="I143" i="30"/>
  <c r="N143" i="30"/>
  <c r="O143" i="30"/>
  <c r="I144" i="30"/>
  <c r="O144" i="30"/>
  <c r="I145" i="30"/>
  <c r="O145" i="30"/>
  <c r="I146" i="30"/>
  <c r="O146" i="30"/>
  <c r="I147" i="30"/>
  <c r="O147" i="30"/>
  <c r="I148" i="30"/>
  <c r="O148" i="30"/>
  <c r="I149" i="30"/>
  <c r="O149" i="30"/>
  <c r="I150" i="30"/>
  <c r="O150" i="30"/>
  <c r="I151" i="30"/>
  <c r="O151" i="30"/>
  <c r="I152" i="30"/>
  <c r="K152" i="30"/>
  <c r="O152" i="30"/>
  <c r="I153" i="30"/>
  <c r="L153" i="30"/>
  <c r="O153" i="30"/>
  <c r="I154" i="30"/>
  <c r="O154" i="30"/>
  <c r="I155" i="30"/>
  <c r="O155" i="30"/>
  <c r="I156" i="30"/>
  <c r="O156" i="30"/>
  <c r="I157" i="30"/>
  <c r="O157" i="30"/>
  <c r="I158" i="30"/>
  <c r="O158" i="30"/>
  <c r="I159" i="30"/>
  <c r="O159" i="30"/>
  <c r="I160" i="30"/>
  <c r="O160" i="30"/>
  <c r="I161" i="30"/>
  <c r="O161" i="30"/>
  <c r="I162" i="30"/>
  <c r="O162" i="30"/>
  <c r="I163" i="30"/>
  <c r="O163" i="30"/>
  <c r="I164" i="30"/>
  <c r="O164" i="30"/>
  <c r="I165" i="30"/>
  <c r="L165" i="30"/>
  <c r="O165" i="30"/>
  <c r="I166" i="30"/>
  <c r="L166" i="30"/>
  <c r="O166" i="30"/>
  <c r="I167" i="30"/>
  <c r="L167" i="30"/>
  <c r="O167" i="30"/>
  <c r="I168" i="30"/>
  <c r="L168" i="30"/>
  <c r="I169" i="30"/>
  <c r="L169" i="30"/>
  <c r="O169" i="30"/>
  <c r="I170" i="30"/>
  <c r="L170" i="30"/>
  <c r="O170" i="30"/>
  <c r="I171" i="30"/>
  <c r="O171" i="30"/>
  <c r="I172" i="30"/>
  <c r="L172" i="30"/>
  <c r="O172" i="30"/>
  <c r="I173" i="30"/>
  <c r="L173" i="30"/>
  <c r="O173" i="30"/>
  <c r="I174" i="30"/>
  <c r="L174" i="30"/>
  <c r="O174" i="30"/>
  <c r="I175" i="30"/>
  <c r="L175" i="30"/>
  <c r="O175" i="30"/>
  <c r="I176" i="30"/>
  <c r="O176" i="30"/>
  <c r="I177" i="30"/>
  <c r="L177" i="30"/>
  <c r="O177" i="30"/>
  <c r="I178" i="30"/>
  <c r="L178" i="30"/>
  <c r="O178" i="30"/>
  <c r="I179" i="30"/>
  <c r="L179" i="30"/>
  <c r="O179" i="30"/>
  <c r="A15" i="30"/>
  <c r="B15" i="30"/>
  <c r="C15" i="30"/>
  <c r="D15" i="30"/>
  <c r="E15" i="30"/>
  <c r="F15" i="30"/>
  <c r="G15" i="30"/>
  <c r="A16" i="30"/>
  <c r="B16" i="30"/>
  <c r="C16" i="30"/>
  <c r="D16" i="30"/>
  <c r="E16" i="30"/>
  <c r="F16" i="30"/>
  <c r="G16" i="30"/>
  <c r="A17" i="30"/>
  <c r="B17" i="30"/>
  <c r="C17" i="30"/>
  <c r="D17" i="30"/>
  <c r="E17" i="30"/>
  <c r="F17" i="30"/>
  <c r="G17" i="30"/>
  <c r="A18" i="30"/>
  <c r="B18" i="30"/>
  <c r="C18" i="30"/>
  <c r="D18" i="30"/>
  <c r="E18" i="30"/>
  <c r="F18" i="30"/>
  <c r="G18" i="30"/>
  <c r="A19" i="30"/>
  <c r="B19" i="30"/>
  <c r="C19" i="30"/>
  <c r="D19" i="30"/>
  <c r="E19" i="30"/>
  <c r="F19" i="30"/>
  <c r="G19" i="30"/>
  <c r="A20" i="30"/>
  <c r="B20" i="30"/>
  <c r="C20" i="30"/>
  <c r="D20" i="30"/>
  <c r="E20" i="30"/>
  <c r="F20" i="30"/>
  <c r="G20" i="30"/>
  <c r="A21" i="30"/>
  <c r="B21" i="30"/>
  <c r="C21" i="30"/>
  <c r="D21" i="30"/>
  <c r="E21" i="30"/>
  <c r="F21" i="30"/>
  <c r="G21" i="30"/>
  <c r="A22" i="30"/>
  <c r="B22" i="30"/>
  <c r="C22" i="30"/>
  <c r="D22" i="30"/>
  <c r="E22" i="30"/>
  <c r="F22" i="30"/>
  <c r="G22" i="30"/>
  <c r="A23" i="30"/>
  <c r="B23" i="30"/>
  <c r="C23" i="30"/>
  <c r="D23" i="30"/>
  <c r="E23" i="30"/>
  <c r="F23" i="30"/>
  <c r="G23" i="30"/>
  <c r="A24" i="30"/>
  <c r="B24" i="30"/>
  <c r="C24" i="30"/>
  <c r="D24" i="30"/>
  <c r="E24" i="30"/>
  <c r="F24" i="30"/>
  <c r="G24" i="30"/>
  <c r="A25" i="30"/>
  <c r="B25" i="30"/>
  <c r="C25" i="30"/>
  <c r="D25" i="30"/>
  <c r="E25" i="30"/>
  <c r="F25" i="30"/>
  <c r="G25" i="30"/>
  <c r="A26" i="30"/>
  <c r="B26" i="30"/>
  <c r="C26" i="30"/>
  <c r="D26" i="30"/>
  <c r="E26" i="30"/>
  <c r="F26" i="30"/>
  <c r="G26" i="30"/>
  <c r="A27" i="30"/>
  <c r="B27" i="30"/>
  <c r="C27" i="30"/>
  <c r="D27" i="30"/>
  <c r="E27" i="30"/>
  <c r="F27" i="30"/>
  <c r="G27" i="30"/>
  <c r="A28" i="30"/>
  <c r="B28" i="30"/>
  <c r="C28" i="30"/>
  <c r="D28" i="30"/>
  <c r="E28" i="30"/>
  <c r="F28" i="30"/>
  <c r="G28" i="30"/>
  <c r="A29" i="30"/>
  <c r="B29" i="30"/>
  <c r="C29" i="30"/>
  <c r="D29" i="30"/>
  <c r="E29" i="30"/>
  <c r="F29" i="30"/>
  <c r="G29" i="30"/>
  <c r="A30" i="30"/>
  <c r="B30" i="30"/>
  <c r="C30" i="30"/>
  <c r="D30" i="30"/>
  <c r="E30" i="30"/>
  <c r="F30" i="30"/>
  <c r="G30" i="30"/>
  <c r="A31" i="30"/>
  <c r="B31" i="30"/>
  <c r="C31" i="30"/>
  <c r="D31" i="30"/>
  <c r="E31" i="30"/>
  <c r="F31" i="30"/>
  <c r="G31" i="30"/>
  <c r="A32" i="30"/>
  <c r="B32" i="30"/>
  <c r="C32" i="30"/>
  <c r="D32" i="30"/>
  <c r="E32" i="30"/>
  <c r="F32" i="30"/>
  <c r="G32" i="30"/>
  <c r="A33" i="30"/>
  <c r="B33" i="30"/>
  <c r="C33" i="30"/>
  <c r="D33" i="30"/>
  <c r="E33" i="30"/>
  <c r="F33" i="30"/>
  <c r="G33" i="30"/>
  <c r="A34" i="30"/>
  <c r="B34" i="30"/>
  <c r="C34" i="30"/>
  <c r="D34" i="30"/>
  <c r="E34" i="30"/>
  <c r="F34" i="30"/>
  <c r="G34" i="30"/>
  <c r="A35" i="30"/>
  <c r="B35" i="30"/>
  <c r="C35" i="30"/>
  <c r="D35" i="30"/>
  <c r="E35" i="30"/>
  <c r="F35" i="30"/>
  <c r="G35" i="30"/>
  <c r="A36" i="30"/>
  <c r="B36" i="30"/>
  <c r="C36" i="30"/>
  <c r="D36" i="30"/>
  <c r="E36" i="30"/>
  <c r="F36" i="30"/>
  <c r="G36" i="30"/>
  <c r="A37" i="30"/>
  <c r="B37" i="30"/>
  <c r="C37" i="30"/>
  <c r="D37" i="30"/>
  <c r="E37" i="30"/>
  <c r="F37" i="30"/>
  <c r="G37" i="30"/>
  <c r="A38" i="30"/>
  <c r="B38" i="30"/>
  <c r="C38" i="30"/>
  <c r="D38" i="30"/>
  <c r="E38" i="30"/>
  <c r="F38" i="30"/>
  <c r="G38" i="30"/>
  <c r="A39" i="30"/>
  <c r="B39" i="30"/>
  <c r="C39" i="30"/>
  <c r="D39" i="30"/>
  <c r="E39" i="30"/>
  <c r="F39" i="30"/>
  <c r="G39" i="30"/>
  <c r="A40" i="30"/>
  <c r="B40" i="30"/>
  <c r="C40" i="30"/>
  <c r="D40" i="30"/>
  <c r="E40" i="30"/>
  <c r="F40" i="30"/>
  <c r="G40" i="30"/>
  <c r="A41" i="30"/>
  <c r="B41" i="30"/>
  <c r="C41" i="30"/>
  <c r="D41" i="30"/>
  <c r="E41" i="30"/>
  <c r="F41" i="30"/>
  <c r="G41" i="30"/>
  <c r="A42" i="30"/>
  <c r="B42" i="30"/>
  <c r="C42" i="30"/>
  <c r="D42" i="30"/>
  <c r="E42" i="30"/>
  <c r="F42" i="30"/>
  <c r="G42" i="30"/>
  <c r="A43" i="30"/>
  <c r="B43" i="30"/>
  <c r="C43" i="30"/>
  <c r="D43" i="30"/>
  <c r="E43" i="30"/>
  <c r="F43" i="30"/>
  <c r="G43" i="30"/>
  <c r="A44" i="30"/>
  <c r="B44" i="30"/>
  <c r="C44" i="30"/>
  <c r="D44" i="30"/>
  <c r="E44" i="30"/>
  <c r="F44" i="30"/>
  <c r="G44" i="30"/>
  <c r="A45" i="30"/>
  <c r="B45" i="30"/>
  <c r="C45" i="30"/>
  <c r="D45" i="30"/>
  <c r="E45" i="30"/>
  <c r="F45" i="30"/>
  <c r="G45" i="30"/>
  <c r="A46" i="30"/>
  <c r="B46" i="30"/>
  <c r="C46" i="30"/>
  <c r="D46" i="30"/>
  <c r="E46" i="30"/>
  <c r="F46" i="30"/>
  <c r="G46" i="30"/>
  <c r="A47" i="30"/>
  <c r="B47" i="30"/>
  <c r="C47" i="30"/>
  <c r="D47" i="30"/>
  <c r="E47" i="30"/>
  <c r="F47" i="30"/>
  <c r="G47" i="30"/>
  <c r="A48" i="30"/>
  <c r="B48" i="30"/>
  <c r="C48" i="30"/>
  <c r="D48" i="30"/>
  <c r="E48" i="30"/>
  <c r="F48" i="30"/>
  <c r="G48" i="30"/>
  <c r="A49" i="30"/>
  <c r="B49" i="30"/>
  <c r="C49" i="30"/>
  <c r="D49" i="30"/>
  <c r="E49" i="30"/>
  <c r="F49" i="30"/>
  <c r="G49" i="30"/>
  <c r="A50" i="30"/>
  <c r="B50" i="30"/>
  <c r="C50" i="30"/>
  <c r="D50" i="30"/>
  <c r="E50" i="30"/>
  <c r="F50" i="30"/>
  <c r="G50" i="30"/>
  <c r="A51" i="30"/>
  <c r="B51" i="30"/>
  <c r="C51" i="30"/>
  <c r="D51" i="30"/>
  <c r="E51" i="30"/>
  <c r="F51" i="30"/>
  <c r="G51" i="30"/>
  <c r="A52" i="30"/>
  <c r="B52" i="30"/>
  <c r="C52" i="30"/>
  <c r="D52" i="30"/>
  <c r="E52" i="30"/>
  <c r="F52" i="30"/>
  <c r="G52" i="30"/>
  <c r="A53" i="30"/>
  <c r="B53" i="30"/>
  <c r="C53" i="30"/>
  <c r="D53" i="30"/>
  <c r="E53" i="30"/>
  <c r="F53" i="30"/>
  <c r="G53" i="30"/>
  <c r="A54" i="30"/>
  <c r="B54" i="30"/>
  <c r="C54" i="30"/>
  <c r="D54" i="30"/>
  <c r="E54" i="30"/>
  <c r="F54" i="30"/>
  <c r="G54" i="30"/>
  <c r="A55" i="30"/>
  <c r="B55" i="30"/>
  <c r="C55" i="30"/>
  <c r="D55" i="30"/>
  <c r="E55" i="30"/>
  <c r="F55" i="30"/>
  <c r="G55" i="30"/>
  <c r="A56" i="30"/>
  <c r="B56" i="30"/>
  <c r="C56" i="30"/>
  <c r="D56" i="30"/>
  <c r="E56" i="30"/>
  <c r="F56" i="30"/>
  <c r="G56" i="30"/>
  <c r="A57" i="30"/>
  <c r="B57" i="30"/>
  <c r="C57" i="30"/>
  <c r="D57" i="30"/>
  <c r="E57" i="30"/>
  <c r="F57" i="30"/>
  <c r="G57" i="30"/>
  <c r="A58" i="30"/>
  <c r="B58" i="30"/>
  <c r="C58" i="30"/>
  <c r="D58" i="30"/>
  <c r="E58" i="30"/>
  <c r="F58" i="30"/>
  <c r="G58" i="30"/>
  <c r="A59" i="30"/>
  <c r="B59" i="30"/>
  <c r="C59" i="30"/>
  <c r="D59" i="30"/>
  <c r="E59" i="30"/>
  <c r="F59" i="30"/>
  <c r="G59" i="30"/>
  <c r="A60" i="30"/>
  <c r="B60" i="30"/>
  <c r="C60" i="30"/>
  <c r="D60" i="30"/>
  <c r="E60" i="30"/>
  <c r="F60" i="30"/>
  <c r="G60" i="30"/>
  <c r="A61" i="30"/>
  <c r="B61" i="30"/>
  <c r="C61" i="30"/>
  <c r="D61" i="30"/>
  <c r="E61" i="30"/>
  <c r="F61" i="30"/>
  <c r="G61" i="30"/>
  <c r="A62" i="30"/>
  <c r="B62" i="30"/>
  <c r="C62" i="30"/>
  <c r="D62" i="30"/>
  <c r="E62" i="30"/>
  <c r="F62" i="30"/>
  <c r="G62" i="30"/>
  <c r="A63" i="30"/>
  <c r="B63" i="30"/>
  <c r="C63" i="30"/>
  <c r="D63" i="30"/>
  <c r="E63" i="30"/>
  <c r="F63" i="30"/>
  <c r="G63" i="30"/>
  <c r="A64" i="30"/>
  <c r="B64" i="30"/>
  <c r="C64" i="30"/>
  <c r="D64" i="30"/>
  <c r="E64" i="30"/>
  <c r="F64" i="30"/>
  <c r="G64" i="30"/>
  <c r="A65" i="30"/>
  <c r="B65" i="30"/>
  <c r="C65" i="30"/>
  <c r="D65" i="30"/>
  <c r="E65" i="30"/>
  <c r="F65" i="30"/>
  <c r="G65" i="30"/>
  <c r="A66" i="30"/>
  <c r="B66" i="30"/>
  <c r="C66" i="30"/>
  <c r="D66" i="30"/>
  <c r="E66" i="30"/>
  <c r="F66" i="30"/>
  <c r="G66" i="30"/>
  <c r="A67" i="30"/>
  <c r="B67" i="30"/>
  <c r="C67" i="30"/>
  <c r="D67" i="30"/>
  <c r="E67" i="30"/>
  <c r="F67" i="30"/>
  <c r="G67" i="30"/>
  <c r="A68" i="30"/>
  <c r="B68" i="30"/>
  <c r="C68" i="30"/>
  <c r="D68" i="30"/>
  <c r="E68" i="30"/>
  <c r="F68" i="30"/>
  <c r="G68" i="30"/>
  <c r="A69" i="30"/>
  <c r="B69" i="30"/>
  <c r="C69" i="30"/>
  <c r="D69" i="30"/>
  <c r="E69" i="30"/>
  <c r="F69" i="30"/>
  <c r="G69" i="30"/>
  <c r="A70" i="30"/>
  <c r="B70" i="30"/>
  <c r="C70" i="30"/>
  <c r="D70" i="30"/>
  <c r="E70" i="30"/>
  <c r="F70" i="30"/>
  <c r="G70" i="30"/>
  <c r="A71" i="30"/>
  <c r="B71" i="30"/>
  <c r="C71" i="30"/>
  <c r="D71" i="30"/>
  <c r="E71" i="30"/>
  <c r="F71" i="30"/>
  <c r="G71" i="30"/>
  <c r="A72" i="30"/>
  <c r="B72" i="30"/>
  <c r="C72" i="30"/>
  <c r="D72" i="30"/>
  <c r="E72" i="30"/>
  <c r="F72" i="30"/>
  <c r="G72" i="30"/>
  <c r="A73" i="30"/>
  <c r="B73" i="30"/>
  <c r="C73" i="30"/>
  <c r="D73" i="30"/>
  <c r="E73" i="30"/>
  <c r="F73" i="30"/>
  <c r="G73" i="30"/>
  <c r="A74" i="30"/>
  <c r="B74" i="30"/>
  <c r="C74" i="30"/>
  <c r="D74" i="30"/>
  <c r="E74" i="30"/>
  <c r="F74" i="30"/>
  <c r="G74" i="30"/>
  <c r="A75" i="30"/>
  <c r="B75" i="30"/>
  <c r="C75" i="30"/>
  <c r="D75" i="30"/>
  <c r="E75" i="30"/>
  <c r="F75" i="30"/>
  <c r="G75" i="30"/>
  <c r="A76" i="30"/>
  <c r="B76" i="30"/>
  <c r="C76" i="30"/>
  <c r="D76" i="30"/>
  <c r="E76" i="30"/>
  <c r="F76" i="30"/>
  <c r="G76" i="30"/>
  <c r="A77" i="30"/>
  <c r="B77" i="30"/>
  <c r="C77" i="30"/>
  <c r="D77" i="30"/>
  <c r="E77" i="30"/>
  <c r="F77" i="30"/>
  <c r="G77" i="30"/>
  <c r="A78" i="30"/>
  <c r="B78" i="30"/>
  <c r="C78" i="30"/>
  <c r="D78" i="30"/>
  <c r="E78" i="30"/>
  <c r="F78" i="30"/>
  <c r="G78" i="30"/>
  <c r="A79" i="30"/>
  <c r="B79" i="30"/>
  <c r="C79" i="30"/>
  <c r="D79" i="30"/>
  <c r="E79" i="30"/>
  <c r="F79" i="30"/>
  <c r="G79" i="30"/>
  <c r="A80" i="30"/>
  <c r="B80" i="30"/>
  <c r="C80" i="30"/>
  <c r="D80" i="30"/>
  <c r="E80" i="30"/>
  <c r="F80" i="30"/>
  <c r="G80" i="30"/>
  <c r="A81" i="30"/>
  <c r="B81" i="30"/>
  <c r="C81" i="30"/>
  <c r="D81" i="30"/>
  <c r="E81" i="30"/>
  <c r="F81" i="30"/>
  <c r="G81" i="30"/>
  <c r="A82" i="30"/>
  <c r="B82" i="30"/>
  <c r="C82" i="30"/>
  <c r="D82" i="30"/>
  <c r="E82" i="30"/>
  <c r="F82" i="30"/>
  <c r="G82" i="30"/>
  <c r="A83" i="30"/>
  <c r="B83" i="30"/>
  <c r="C83" i="30"/>
  <c r="D83" i="30"/>
  <c r="E83" i="30"/>
  <c r="F83" i="30"/>
  <c r="G83" i="30"/>
  <c r="A84" i="30"/>
  <c r="B84" i="30"/>
  <c r="C84" i="30"/>
  <c r="D84" i="30"/>
  <c r="E84" i="30"/>
  <c r="F84" i="30"/>
  <c r="G84" i="30"/>
  <c r="A85" i="30"/>
  <c r="B85" i="30"/>
  <c r="C85" i="30"/>
  <c r="D85" i="30"/>
  <c r="E85" i="30"/>
  <c r="F85" i="30"/>
  <c r="G85" i="30"/>
  <c r="A86" i="30"/>
  <c r="B86" i="30"/>
  <c r="C86" i="30"/>
  <c r="D86" i="30"/>
  <c r="E86" i="30"/>
  <c r="F86" i="30"/>
  <c r="G86" i="30"/>
  <c r="A87" i="30"/>
  <c r="B87" i="30"/>
  <c r="C87" i="30"/>
  <c r="D87" i="30"/>
  <c r="E87" i="30"/>
  <c r="F87" i="30"/>
  <c r="G87" i="30"/>
  <c r="A88" i="30"/>
  <c r="B88" i="30"/>
  <c r="C88" i="30"/>
  <c r="D88" i="30"/>
  <c r="E88" i="30"/>
  <c r="F88" i="30"/>
  <c r="G88" i="30"/>
  <c r="A89" i="30"/>
  <c r="B89" i="30"/>
  <c r="C89" i="30"/>
  <c r="D89" i="30"/>
  <c r="E89" i="30"/>
  <c r="F89" i="30"/>
  <c r="G89" i="30"/>
  <c r="A90" i="30"/>
  <c r="B90" i="30"/>
  <c r="C90" i="30"/>
  <c r="D90" i="30"/>
  <c r="E90" i="30"/>
  <c r="F90" i="30"/>
  <c r="G90" i="30"/>
  <c r="A91" i="30"/>
  <c r="B91" i="30"/>
  <c r="C91" i="30"/>
  <c r="D91" i="30"/>
  <c r="E91" i="30"/>
  <c r="F91" i="30"/>
  <c r="G91" i="30"/>
  <c r="A92" i="30"/>
  <c r="B92" i="30"/>
  <c r="C92" i="30"/>
  <c r="D92" i="30"/>
  <c r="E92" i="30"/>
  <c r="F92" i="30"/>
  <c r="G92" i="30"/>
  <c r="A93" i="30"/>
  <c r="B93" i="30"/>
  <c r="C93" i="30"/>
  <c r="D93" i="30"/>
  <c r="E93" i="30"/>
  <c r="F93" i="30"/>
  <c r="G93" i="30"/>
  <c r="A94" i="30"/>
  <c r="B94" i="30"/>
  <c r="C94" i="30"/>
  <c r="D94" i="30"/>
  <c r="E94" i="30"/>
  <c r="F94" i="30"/>
  <c r="G94" i="30"/>
  <c r="A95" i="30"/>
  <c r="B95" i="30"/>
  <c r="C95" i="30"/>
  <c r="D95" i="30"/>
  <c r="E95" i="30"/>
  <c r="F95" i="30"/>
  <c r="G95" i="30"/>
  <c r="A96" i="30"/>
  <c r="B96" i="30"/>
  <c r="C96" i="30"/>
  <c r="D96" i="30"/>
  <c r="E96" i="30"/>
  <c r="L96" i="30" s="1"/>
  <c r="F96" i="30"/>
  <c r="G96" i="30"/>
  <c r="A97" i="30"/>
  <c r="B97" i="30"/>
  <c r="C97" i="30"/>
  <c r="D97" i="30"/>
  <c r="E97" i="30"/>
  <c r="F97" i="30"/>
  <c r="G97" i="30"/>
  <c r="A98" i="30"/>
  <c r="B98" i="30"/>
  <c r="C98" i="30"/>
  <c r="D98" i="30"/>
  <c r="E98" i="30"/>
  <c r="F98" i="30"/>
  <c r="G98" i="30"/>
  <c r="A99" i="30"/>
  <c r="B99" i="30"/>
  <c r="C99" i="30"/>
  <c r="D99" i="30"/>
  <c r="E99" i="30"/>
  <c r="F99" i="30"/>
  <c r="G99" i="30"/>
  <c r="A100" i="30"/>
  <c r="B100" i="30"/>
  <c r="C100" i="30"/>
  <c r="D100" i="30"/>
  <c r="E100" i="30"/>
  <c r="F100" i="30"/>
  <c r="G100" i="30"/>
  <c r="A101" i="30"/>
  <c r="B101" i="30"/>
  <c r="M101" i="30" s="1"/>
  <c r="N101" i="30" s="1"/>
  <c r="C101" i="30"/>
  <c r="D101" i="30"/>
  <c r="E101" i="30"/>
  <c r="K101" i="30" s="1"/>
  <c r="F101" i="30"/>
  <c r="G101" i="30"/>
  <c r="A102" i="30"/>
  <c r="B102" i="30"/>
  <c r="C102" i="30"/>
  <c r="D102" i="30"/>
  <c r="E102" i="30"/>
  <c r="F102" i="30"/>
  <c r="G102" i="30"/>
  <c r="A103" i="30"/>
  <c r="B103" i="30"/>
  <c r="C103" i="30"/>
  <c r="D103" i="30"/>
  <c r="E103" i="30"/>
  <c r="F103" i="30"/>
  <c r="G103" i="30"/>
  <c r="A104" i="30"/>
  <c r="B104" i="30"/>
  <c r="C104" i="30"/>
  <c r="D104" i="30"/>
  <c r="E104" i="30"/>
  <c r="F104" i="30"/>
  <c r="G104" i="30"/>
  <c r="A105" i="30"/>
  <c r="B105" i="30"/>
  <c r="C105" i="30"/>
  <c r="D105" i="30"/>
  <c r="E105" i="30"/>
  <c r="F105" i="30"/>
  <c r="G105" i="30"/>
  <c r="A106" i="30"/>
  <c r="B106" i="30"/>
  <c r="C106" i="30"/>
  <c r="D106" i="30"/>
  <c r="E106" i="30"/>
  <c r="K106" i="30" s="1"/>
  <c r="F106" i="30"/>
  <c r="G106" i="30"/>
  <c r="A107" i="30"/>
  <c r="B107" i="30"/>
  <c r="C107" i="30"/>
  <c r="D107" i="30"/>
  <c r="E107" i="30"/>
  <c r="F107" i="30"/>
  <c r="G107" i="30"/>
  <c r="A108" i="30"/>
  <c r="B108" i="30"/>
  <c r="C108" i="30"/>
  <c r="D108" i="30"/>
  <c r="E108" i="30"/>
  <c r="F108" i="30"/>
  <c r="G108" i="30"/>
  <c r="A109" i="30"/>
  <c r="B109" i="30"/>
  <c r="C109" i="30"/>
  <c r="D109" i="30"/>
  <c r="E109" i="30"/>
  <c r="F109" i="30"/>
  <c r="G109" i="30"/>
  <c r="A110" i="30"/>
  <c r="B110" i="30"/>
  <c r="C110" i="30"/>
  <c r="D110" i="30"/>
  <c r="E110" i="30"/>
  <c r="K110" i="30" s="1"/>
  <c r="F110" i="30"/>
  <c r="G110" i="30"/>
  <c r="A111" i="30"/>
  <c r="B111" i="30"/>
  <c r="C111" i="30"/>
  <c r="D111" i="30"/>
  <c r="E111" i="30"/>
  <c r="F111" i="30"/>
  <c r="G111" i="30"/>
  <c r="A112" i="30"/>
  <c r="B112" i="30"/>
  <c r="C112" i="30"/>
  <c r="D112" i="30"/>
  <c r="E112" i="30"/>
  <c r="F112" i="30"/>
  <c r="G112" i="30"/>
  <c r="A113" i="30"/>
  <c r="B113" i="30"/>
  <c r="C113" i="30"/>
  <c r="D113" i="30"/>
  <c r="E113" i="30"/>
  <c r="L113" i="30" s="1"/>
  <c r="F113" i="30"/>
  <c r="G113" i="30"/>
  <c r="A114" i="30"/>
  <c r="B114" i="30"/>
  <c r="C114" i="30"/>
  <c r="D114" i="30"/>
  <c r="E114" i="30"/>
  <c r="J114" i="30" s="1"/>
  <c r="F114" i="30"/>
  <c r="G114" i="30"/>
  <c r="A115" i="30"/>
  <c r="B115" i="30"/>
  <c r="C115" i="30"/>
  <c r="D115" i="30"/>
  <c r="E115" i="30"/>
  <c r="F115" i="30"/>
  <c r="G115" i="30"/>
  <c r="A116" i="30"/>
  <c r="B116" i="30"/>
  <c r="C116" i="30"/>
  <c r="D116" i="30"/>
  <c r="E116" i="30"/>
  <c r="F116" i="30"/>
  <c r="G116" i="30"/>
  <c r="A117" i="30"/>
  <c r="B117" i="30"/>
  <c r="C117" i="30"/>
  <c r="D117" i="30"/>
  <c r="E117" i="30"/>
  <c r="J117" i="30" s="1"/>
  <c r="F117" i="30"/>
  <c r="G117" i="30"/>
  <c r="A118" i="30"/>
  <c r="B118" i="30"/>
  <c r="C118" i="30"/>
  <c r="D118" i="30"/>
  <c r="E118" i="30"/>
  <c r="K118" i="30" s="1"/>
  <c r="F118" i="30"/>
  <c r="G118" i="30"/>
  <c r="A119" i="30"/>
  <c r="B119" i="30"/>
  <c r="M119" i="30" s="1"/>
  <c r="N119" i="30" s="1"/>
  <c r="C119" i="30"/>
  <c r="D119" i="30"/>
  <c r="E119" i="30"/>
  <c r="J119" i="30" s="1"/>
  <c r="F119" i="30"/>
  <c r="G119" i="30"/>
  <c r="A120" i="30"/>
  <c r="B120" i="30"/>
  <c r="M120" i="30" s="1"/>
  <c r="N120" i="30" s="1"/>
  <c r="C120" i="30"/>
  <c r="D120" i="30"/>
  <c r="E120" i="30"/>
  <c r="J120" i="30" s="1"/>
  <c r="F120" i="30"/>
  <c r="G120" i="30"/>
  <c r="A121" i="30"/>
  <c r="B121" i="30"/>
  <c r="C121" i="30"/>
  <c r="D121" i="30"/>
  <c r="E121" i="30"/>
  <c r="F121" i="30"/>
  <c r="G121" i="30"/>
  <c r="Q120" i="30" s="1"/>
  <c r="A122" i="30"/>
  <c r="B122" i="30"/>
  <c r="C122" i="30"/>
  <c r="D122" i="30"/>
  <c r="E122" i="30"/>
  <c r="L122" i="30" s="1"/>
  <c r="F122" i="30"/>
  <c r="G122" i="30"/>
  <c r="A123" i="30"/>
  <c r="B123" i="30"/>
  <c r="C123" i="30"/>
  <c r="D123" i="30"/>
  <c r="E123" i="30"/>
  <c r="F123" i="30"/>
  <c r="G123" i="30"/>
  <c r="A124" i="30"/>
  <c r="B124" i="30"/>
  <c r="C124" i="30"/>
  <c r="D124" i="30"/>
  <c r="E124" i="30"/>
  <c r="F124" i="30"/>
  <c r="G124" i="30"/>
  <c r="A125" i="30"/>
  <c r="B125" i="30"/>
  <c r="C125" i="30"/>
  <c r="D125" i="30"/>
  <c r="E125" i="30"/>
  <c r="L125" i="30" s="1"/>
  <c r="F125" i="30"/>
  <c r="G125" i="30"/>
  <c r="A126" i="30"/>
  <c r="B126" i="30"/>
  <c r="C126" i="30"/>
  <c r="D126" i="30"/>
  <c r="E126" i="30"/>
  <c r="J126" i="30" s="1"/>
  <c r="F126" i="30"/>
  <c r="G126" i="30"/>
  <c r="A127" i="30"/>
  <c r="B127" i="30"/>
  <c r="C127" i="30"/>
  <c r="D127" i="30"/>
  <c r="E127" i="30"/>
  <c r="F127" i="30"/>
  <c r="G127" i="30"/>
  <c r="A128" i="30"/>
  <c r="B128" i="30"/>
  <c r="C128" i="30"/>
  <c r="D128" i="30"/>
  <c r="E128" i="30"/>
  <c r="F128" i="30"/>
  <c r="G128" i="30"/>
  <c r="A129" i="30"/>
  <c r="B129" i="30"/>
  <c r="M129" i="30" s="1"/>
  <c r="N129" i="30" s="1"/>
  <c r="C129" i="30"/>
  <c r="D129" i="30"/>
  <c r="E129" i="30"/>
  <c r="J129" i="30" s="1"/>
  <c r="F129" i="30"/>
  <c r="G129" i="30"/>
  <c r="A130" i="30"/>
  <c r="B130" i="30"/>
  <c r="C130" i="30"/>
  <c r="D130" i="30"/>
  <c r="E130" i="30"/>
  <c r="K130" i="30" s="1"/>
  <c r="F130" i="30"/>
  <c r="G130" i="30"/>
  <c r="A131" i="30"/>
  <c r="B131" i="30"/>
  <c r="C131" i="30"/>
  <c r="D131" i="30"/>
  <c r="E131" i="30"/>
  <c r="J131" i="30" s="1"/>
  <c r="F131" i="30"/>
  <c r="G131" i="30"/>
  <c r="A132" i="30"/>
  <c r="B132" i="30"/>
  <c r="C132" i="30"/>
  <c r="D132" i="30"/>
  <c r="E132" i="30"/>
  <c r="J132" i="30" s="1"/>
  <c r="F132" i="30"/>
  <c r="G132" i="30"/>
  <c r="A133" i="30"/>
  <c r="B133" i="30"/>
  <c r="C133" i="30"/>
  <c r="D133" i="30"/>
  <c r="E133" i="30"/>
  <c r="F133" i="30"/>
  <c r="G133" i="30"/>
  <c r="A134" i="30"/>
  <c r="B134" i="30"/>
  <c r="C134" i="30"/>
  <c r="D134" i="30"/>
  <c r="E134" i="30"/>
  <c r="L134" i="30" s="1"/>
  <c r="F134" i="30"/>
  <c r="G134" i="30"/>
  <c r="A135" i="30"/>
  <c r="B135" i="30"/>
  <c r="C135" i="30"/>
  <c r="D135" i="30"/>
  <c r="E135" i="30"/>
  <c r="F135" i="30"/>
  <c r="G135" i="30"/>
  <c r="A136" i="30"/>
  <c r="B136" i="30"/>
  <c r="C136" i="30"/>
  <c r="D136" i="30"/>
  <c r="E136" i="30"/>
  <c r="F136" i="30"/>
  <c r="G136" i="30"/>
  <c r="A137" i="30"/>
  <c r="B137" i="30"/>
  <c r="C137" i="30"/>
  <c r="D137" i="30"/>
  <c r="E137" i="30"/>
  <c r="L137" i="30" s="1"/>
  <c r="F137" i="30"/>
  <c r="G137" i="30"/>
  <c r="A138" i="30"/>
  <c r="B138" i="30"/>
  <c r="C138" i="30"/>
  <c r="D138" i="30"/>
  <c r="E138" i="30"/>
  <c r="J138" i="30" s="1"/>
  <c r="F138" i="30"/>
  <c r="G138" i="30"/>
  <c r="A139" i="30"/>
  <c r="B139" i="30"/>
  <c r="C139" i="30"/>
  <c r="D139" i="30"/>
  <c r="E139" i="30"/>
  <c r="F139" i="30"/>
  <c r="G139" i="30"/>
  <c r="A140" i="30"/>
  <c r="B140" i="30"/>
  <c r="C140" i="30"/>
  <c r="D140" i="30"/>
  <c r="E140" i="30"/>
  <c r="F140" i="30"/>
  <c r="G140" i="30"/>
  <c r="A141" i="30"/>
  <c r="B141" i="30"/>
  <c r="C141" i="30"/>
  <c r="D141" i="30"/>
  <c r="E141" i="30"/>
  <c r="J141" i="30" s="1"/>
  <c r="F141" i="30"/>
  <c r="G141" i="30"/>
  <c r="A142" i="30"/>
  <c r="B142" i="30"/>
  <c r="C142" i="30"/>
  <c r="M142" i="30" s="1"/>
  <c r="N142" i="30" s="1"/>
  <c r="D142" i="30"/>
  <c r="E142" i="30"/>
  <c r="K142" i="30" s="1"/>
  <c r="F142" i="30"/>
  <c r="G142" i="30"/>
  <c r="A143" i="30"/>
  <c r="B143" i="30"/>
  <c r="M143" i="30" s="1"/>
  <c r="C143" i="30"/>
  <c r="D143" i="30"/>
  <c r="E143" i="30"/>
  <c r="J143" i="30" s="1"/>
  <c r="F143" i="30"/>
  <c r="G143" i="30"/>
  <c r="A144" i="30"/>
  <c r="B144" i="30"/>
  <c r="M144" i="30" s="1"/>
  <c r="N144" i="30" s="1"/>
  <c r="C144" i="30"/>
  <c r="D144" i="30"/>
  <c r="E144" i="30"/>
  <c r="J144" i="30" s="1"/>
  <c r="F144" i="30"/>
  <c r="G144" i="30"/>
  <c r="A145" i="30"/>
  <c r="B145" i="30"/>
  <c r="C145" i="30"/>
  <c r="D145" i="30"/>
  <c r="E145" i="30"/>
  <c r="F145" i="30"/>
  <c r="G145" i="30"/>
  <c r="Q144" i="30" s="1"/>
  <c r="A146" i="30"/>
  <c r="B146" i="30"/>
  <c r="C146" i="30"/>
  <c r="D146" i="30"/>
  <c r="E146" i="30"/>
  <c r="L146" i="30" s="1"/>
  <c r="F146" i="30"/>
  <c r="G146" i="30"/>
  <c r="A147" i="30"/>
  <c r="B147" i="30"/>
  <c r="C147" i="30"/>
  <c r="D147" i="30"/>
  <c r="E147" i="30"/>
  <c r="F147" i="30"/>
  <c r="G147" i="30"/>
  <c r="A148" i="30"/>
  <c r="B148" i="30"/>
  <c r="C148" i="30"/>
  <c r="D148" i="30"/>
  <c r="E148" i="30"/>
  <c r="F148" i="30"/>
  <c r="G148" i="30"/>
  <c r="A149" i="30"/>
  <c r="B149" i="30"/>
  <c r="C149" i="30"/>
  <c r="D149" i="30"/>
  <c r="E149" i="30"/>
  <c r="L149" i="30" s="1"/>
  <c r="F149" i="30"/>
  <c r="G149" i="30"/>
  <c r="A150" i="30"/>
  <c r="B150" i="30"/>
  <c r="C150" i="30"/>
  <c r="D150" i="30"/>
  <c r="E150" i="30"/>
  <c r="J150" i="30" s="1"/>
  <c r="F150" i="30"/>
  <c r="G150" i="30"/>
  <c r="A151" i="30"/>
  <c r="B151" i="30"/>
  <c r="C151" i="30"/>
  <c r="D151" i="30"/>
  <c r="E151" i="30"/>
  <c r="F151" i="30"/>
  <c r="G151" i="30"/>
  <c r="A152" i="30"/>
  <c r="B152" i="30"/>
  <c r="C152" i="30"/>
  <c r="D152" i="30"/>
  <c r="E152" i="30"/>
  <c r="F152" i="30"/>
  <c r="G152" i="30"/>
  <c r="A153" i="30"/>
  <c r="B153" i="30"/>
  <c r="M153" i="30" s="1"/>
  <c r="N153" i="30" s="1"/>
  <c r="C153" i="30"/>
  <c r="D153" i="30"/>
  <c r="E153" i="30"/>
  <c r="J153" i="30" s="1"/>
  <c r="F153" i="30"/>
  <c r="G153" i="30"/>
  <c r="A154" i="30"/>
  <c r="B154" i="30"/>
  <c r="C154" i="30"/>
  <c r="D154" i="30"/>
  <c r="E154" i="30"/>
  <c r="K154" i="30" s="1"/>
  <c r="F154" i="30"/>
  <c r="G154" i="30"/>
  <c r="A155" i="30"/>
  <c r="B155" i="30"/>
  <c r="C155" i="30"/>
  <c r="D155" i="30"/>
  <c r="E155" i="30"/>
  <c r="J155" i="30" s="1"/>
  <c r="F155" i="30"/>
  <c r="G155" i="30"/>
  <c r="A156" i="30"/>
  <c r="B156" i="30"/>
  <c r="C156" i="30"/>
  <c r="D156" i="30"/>
  <c r="E156" i="30"/>
  <c r="J156" i="30" s="1"/>
  <c r="F156" i="30"/>
  <c r="G156" i="30"/>
  <c r="A157" i="30"/>
  <c r="B157" i="30"/>
  <c r="C157" i="30"/>
  <c r="D157" i="30"/>
  <c r="E157" i="30"/>
  <c r="F157" i="30"/>
  <c r="G157" i="30"/>
  <c r="A158" i="30"/>
  <c r="B158" i="30"/>
  <c r="C158" i="30"/>
  <c r="D158" i="30"/>
  <c r="E158" i="30"/>
  <c r="L158" i="30" s="1"/>
  <c r="F158" i="30"/>
  <c r="G158" i="30"/>
  <c r="A159" i="30"/>
  <c r="B159" i="30"/>
  <c r="C159" i="30"/>
  <c r="D159" i="30"/>
  <c r="E159" i="30"/>
  <c r="F159" i="30"/>
  <c r="G159" i="30"/>
  <c r="A160" i="30"/>
  <c r="B160" i="30"/>
  <c r="C160" i="30"/>
  <c r="D160" i="30"/>
  <c r="E160" i="30"/>
  <c r="F160" i="30"/>
  <c r="G160" i="30"/>
  <c r="A161" i="30"/>
  <c r="B161" i="30"/>
  <c r="C161" i="30"/>
  <c r="D161" i="30"/>
  <c r="E161" i="30"/>
  <c r="L161" i="30" s="1"/>
  <c r="F161" i="30"/>
  <c r="G161" i="30"/>
  <c r="A162" i="30"/>
  <c r="B162" i="30"/>
  <c r="C162" i="30"/>
  <c r="D162" i="30"/>
  <c r="E162" i="30"/>
  <c r="J162" i="30" s="1"/>
  <c r="F162" i="30"/>
  <c r="G162" i="30"/>
  <c r="A163" i="30"/>
  <c r="B163" i="30"/>
  <c r="C163" i="30"/>
  <c r="D163" i="30"/>
  <c r="E163" i="30"/>
  <c r="F163" i="30"/>
  <c r="G163" i="30"/>
  <c r="A164" i="30"/>
  <c r="B164" i="30"/>
  <c r="C164" i="30"/>
  <c r="D164" i="30"/>
  <c r="E164" i="30"/>
  <c r="K164" i="30" s="1"/>
  <c r="F164" i="30"/>
  <c r="G164" i="30"/>
  <c r="A165" i="30"/>
  <c r="B165" i="30"/>
  <c r="C165" i="30"/>
  <c r="D165" i="30"/>
  <c r="E165" i="30"/>
  <c r="J165" i="30" s="1"/>
  <c r="F165" i="30"/>
  <c r="G165" i="30"/>
  <c r="A166" i="30"/>
  <c r="B166" i="30"/>
  <c r="C166" i="30"/>
  <c r="D166" i="30"/>
  <c r="E166" i="30"/>
  <c r="J166" i="30" s="1"/>
  <c r="F166" i="30"/>
  <c r="G166" i="30"/>
  <c r="A167" i="30"/>
  <c r="B167" i="30"/>
  <c r="C167" i="30"/>
  <c r="D167" i="30"/>
  <c r="E167" i="30"/>
  <c r="J167" i="30" s="1"/>
  <c r="F167" i="30"/>
  <c r="G167" i="30"/>
  <c r="A168" i="30"/>
  <c r="B168" i="30"/>
  <c r="M168" i="30" s="1"/>
  <c r="N168" i="30" s="1"/>
  <c r="C168" i="30"/>
  <c r="D168" i="30"/>
  <c r="E168" i="30"/>
  <c r="J168" i="30" s="1"/>
  <c r="F168" i="30"/>
  <c r="G168" i="30"/>
  <c r="A169" i="30"/>
  <c r="B169" i="30"/>
  <c r="M169" i="30" s="1"/>
  <c r="N169" i="30" s="1"/>
  <c r="C169" i="30"/>
  <c r="D169" i="30"/>
  <c r="E169" i="30"/>
  <c r="J169" i="30" s="1"/>
  <c r="F169" i="30"/>
  <c r="G169" i="30"/>
  <c r="P169" i="30" s="1"/>
  <c r="A170" i="30"/>
  <c r="B170" i="30"/>
  <c r="C170" i="30"/>
  <c r="D170" i="30"/>
  <c r="E170" i="30"/>
  <c r="J170" i="30" s="1"/>
  <c r="F170" i="30"/>
  <c r="G170" i="30"/>
  <c r="A171" i="30"/>
  <c r="B171" i="30"/>
  <c r="C171" i="30"/>
  <c r="D171" i="30"/>
  <c r="L171" i="30" s="1"/>
  <c r="E171" i="30"/>
  <c r="F171" i="30"/>
  <c r="G171" i="30"/>
  <c r="A172" i="30"/>
  <c r="B172" i="30"/>
  <c r="C172" i="30"/>
  <c r="D172" i="30"/>
  <c r="E172" i="30"/>
  <c r="J172" i="30" s="1"/>
  <c r="F172" i="30"/>
  <c r="G172" i="30"/>
  <c r="A173" i="30"/>
  <c r="B173" i="30"/>
  <c r="C173" i="30"/>
  <c r="D173" i="30"/>
  <c r="E173" i="30"/>
  <c r="J173" i="30" s="1"/>
  <c r="F173" i="30"/>
  <c r="G173" i="30"/>
  <c r="A174" i="30"/>
  <c r="B174" i="30"/>
  <c r="M174" i="30" s="1"/>
  <c r="N174" i="30" s="1"/>
  <c r="C174" i="30"/>
  <c r="D174" i="30"/>
  <c r="E174" i="30"/>
  <c r="J174" i="30" s="1"/>
  <c r="F174" i="30"/>
  <c r="G174" i="30"/>
  <c r="A175" i="30"/>
  <c r="B175" i="30"/>
  <c r="M175" i="30" s="1"/>
  <c r="N175" i="30" s="1"/>
  <c r="C175" i="30"/>
  <c r="D175" i="30"/>
  <c r="E175" i="30"/>
  <c r="J175" i="30" s="1"/>
  <c r="F175" i="30"/>
  <c r="G175" i="30"/>
  <c r="A176" i="30"/>
  <c r="B176" i="30"/>
  <c r="C176" i="30"/>
  <c r="D176" i="30"/>
  <c r="E176" i="30"/>
  <c r="F176" i="30"/>
  <c r="G176" i="30"/>
  <c r="A177" i="30"/>
  <c r="B177" i="30"/>
  <c r="M177" i="30" s="1"/>
  <c r="N177" i="30" s="1"/>
  <c r="C177" i="30"/>
  <c r="D177" i="30"/>
  <c r="E177" i="30"/>
  <c r="J177" i="30" s="1"/>
  <c r="F177" i="30"/>
  <c r="G177" i="30"/>
  <c r="A178" i="30"/>
  <c r="B178" i="30"/>
  <c r="C178" i="30"/>
  <c r="D178" i="30"/>
  <c r="E178" i="30"/>
  <c r="J178" i="30" s="1"/>
  <c r="F178" i="30"/>
  <c r="G178" i="30"/>
  <c r="A179" i="30"/>
  <c r="B179" i="30"/>
  <c r="M179" i="30" s="1"/>
  <c r="N179" i="30" s="1"/>
  <c r="Q179" i="30" s="1"/>
  <c r="C179" i="30"/>
  <c r="D179" i="30"/>
  <c r="E179" i="30"/>
  <c r="J179" i="30" s="1"/>
  <c r="F179" i="30"/>
  <c r="G179" i="30"/>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S178" i="32" l="1"/>
  <c r="X169" i="32"/>
  <c r="Z169" i="32" s="1"/>
  <c r="AA169" i="32" s="1"/>
  <c r="U172" i="32"/>
  <c r="N179" i="32"/>
  <c r="K150" i="32"/>
  <c r="M150" i="32"/>
  <c r="O150" i="32" s="1"/>
  <c r="S150" i="32" s="1"/>
  <c r="V150" i="32" s="1"/>
  <c r="Y150" i="32" s="1"/>
  <c r="K114" i="32"/>
  <c r="L114" i="32"/>
  <c r="M114" i="32"/>
  <c r="O114" i="32" s="1"/>
  <c r="S114" i="32" s="1"/>
  <c r="M90" i="32"/>
  <c r="O90" i="32" s="1"/>
  <c r="S90" i="32" s="1"/>
  <c r="K90" i="32"/>
  <c r="L90" i="32"/>
  <c r="K167" i="32"/>
  <c r="N167" i="32" s="1"/>
  <c r="M167" i="32"/>
  <c r="O167" i="32" s="1"/>
  <c r="S167" i="32" s="1"/>
  <c r="K155" i="32"/>
  <c r="L155" i="32"/>
  <c r="M155" i="32"/>
  <c r="O155" i="32" s="1"/>
  <c r="S155" i="32" s="1"/>
  <c r="K143" i="32"/>
  <c r="L143" i="32"/>
  <c r="M143" i="32"/>
  <c r="O143" i="32" s="1"/>
  <c r="S143" i="32" s="1"/>
  <c r="K131" i="32"/>
  <c r="M131" i="32"/>
  <c r="O131" i="32" s="1"/>
  <c r="S131" i="32" s="1"/>
  <c r="L131" i="32"/>
  <c r="I129" i="32"/>
  <c r="K119" i="32"/>
  <c r="L119" i="32"/>
  <c r="M119" i="32"/>
  <c r="O119" i="32" s="1"/>
  <c r="S119" i="32" s="1"/>
  <c r="I117" i="32"/>
  <c r="K107" i="32"/>
  <c r="L107" i="32"/>
  <c r="M107" i="32"/>
  <c r="O107" i="32" s="1"/>
  <c r="S107" i="32" s="1"/>
  <c r="I105" i="32"/>
  <c r="K95" i="32"/>
  <c r="L95" i="32"/>
  <c r="M95" i="32"/>
  <c r="O95" i="32" s="1"/>
  <c r="S95" i="32" s="1"/>
  <c r="I93" i="32"/>
  <c r="K83" i="32"/>
  <c r="L83" i="32"/>
  <c r="M83" i="32"/>
  <c r="O83" i="32" s="1"/>
  <c r="S83" i="32" s="1"/>
  <c r="I81" i="32"/>
  <c r="K71" i="32"/>
  <c r="L71" i="32"/>
  <c r="M71" i="32"/>
  <c r="O71" i="32" s="1"/>
  <c r="S71" i="32" s="1"/>
  <c r="I69" i="32"/>
  <c r="M59" i="32"/>
  <c r="O59" i="32" s="1"/>
  <c r="S59" i="32" s="1"/>
  <c r="K59" i="32"/>
  <c r="L59" i="32"/>
  <c r="I57" i="32"/>
  <c r="M47" i="32"/>
  <c r="O47" i="32" s="1"/>
  <c r="S47" i="32" s="1"/>
  <c r="K47" i="32"/>
  <c r="L47" i="32"/>
  <c r="I45" i="32"/>
  <c r="M35" i="32"/>
  <c r="O35" i="32" s="1"/>
  <c r="S35" i="32" s="1"/>
  <c r="K35" i="32"/>
  <c r="L35" i="32"/>
  <c r="I33" i="32"/>
  <c r="W33" i="32"/>
  <c r="M23" i="32"/>
  <c r="O23" i="32" s="1"/>
  <c r="S23" i="32" s="1"/>
  <c r="K23" i="32"/>
  <c r="L23" i="32"/>
  <c r="I21" i="32"/>
  <c r="L178" i="32"/>
  <c r="L173" i="32"/>
  <c r="N173" i="32" s="1"/>
  <c r="M148" i="32"/>
  <c r="O148" i="32" s="1"/>
  <c r="S148" i="32" s="1"/>
  <c r="K162" i="32"/>
  <c r="M162" i="32"/>
  <c r="O162" i="32" s="1"/>
  <c r="S162" i="32" s="1"/>
  <c r="I136" i="32"/>
  <c r="K54" i="32"/>
  <c r="M54" i="32"/>
  <c r="O54" i="32" s="1"/>
  <c r="S54" i="32" s="1"/>
  <c r="L54" i="32"/>
  <c r="S170" i="32"/>
  <c r="U170" i="32" s="1"/>
  <c r="I158" i="32"/>
  <c r="I146" i="32"/>
  <c r="M136" i="32"/>
  <c r="O136" i="32" s="1"/>
  <c r="S136" i="32" s="1"/>
  <c r="W136" i="32" s="1"/>
  <c r="L136" i="32"/>
  <c r="I134" i="32"/>
  <c r="M124" i="32"/>
  <c r="O124" i="32" s="1"/>
  <c r="S124" i="32" s="1"/>
  <c r="K124" i="32"/>
  <c r="L124" i="32"/>
  <c r="I122" i="32"/>
  <c r="M112" i="32"/>
  <c r="O112" i="32" s="1"/>
  <c r="S112" i="32" s="1"/>
  <c r="K112" i="32"/>
  <c r="L112" i="32"/>
  <c r="I110" i="32"/>
  <c r="K100" i="32"/>
  <c r="M100" i="32"/>
  <c r="O100" i="32" s="1"/>
  <c r="S100" i="32" s="1"/>
  <c r="L100" i="32"/>
  <c r="I98" i="32"/>
  <c r="N97" i="32"/>
  <c r="K88" i="32"/>
  <c r="L88" i="32"/>
  <c r="M88" i="32"/>
  <c r="O88" i="32" s="1"/>
  <c r="S88" i="32" s="1"/>
  <c r="I86" i="32"/>
  <c r="K76" i="32"/>
  <c r="L76" i="32"/>
  <c r="M76" i="32"/>
  <c r="O76" i="32" s="1"/>
  <c r="S76" i="32" s="1"/>
  <c r="I74" i="32"/>
  <c r="K64" i="32"/>
  <c r="M64" i="32"/>
  <c r="O64" i="32" s="1"/>
  <c r="S64" i="32" s="1"/>
  <c r="L64" i="32"/>
  <c r="I62" i="32"/>
  <c r="K52" i="32"/>
  <c r="M52" i="32"/>
  <c r="O52" i="32" s="1"/>
  <c r="S52" i="32" s="1"/>
  <c r="L52" i="32"/>
  <c r="N52" i="32" s="1"/>
  <c r="I50" i="32"/>
  <c r="K40" i="32"/>
  <c r="M40" i="32"/>
  <c r="O40" i="32" s="1"/>
  <c r="S40" i="32" s="1"/>
  <c r="W40" i="32" s="1"/>
  <c r="L40" i="32"/>
  <c r="I38" i="32"/>
  <c r="K28" i="32"/>
  <c r="L28" i="32"/>
  <c r="M28" i="32"/>
  <c r="O28" i="32" s="1"/>
  <c r="S28" i="32" s="1"/>
  <c r="I26" i="32"/>
  <c r="K16" i="32"/>
  <c r="L16" i="32"/>
  <c r="M16" i="32"/>
  <c r="O16" i="32" s="1"/>
  <c r="S16" i="32" s="1"/>
  <c r="M175" i="32"/>
  <c r="O175" i="32" s="1"/>
  <c r="S175" i="32" s="1"/>
  <c r="U175" i="32" s="1"/>
  <c r="L170" i="32"/>
  <c r="M163" i="32"/>
  <c r="O163" i="32" s="1"/>
  <c r="S163" i="32" s="1"/>
  <c r="L148" i="32"/>
  <c r="I40" i="32"/>
  <c r="K18" i="32"/>
  <c r="L18" i="32"/>
  <c r="M18" i="32"/>
  <c r="O18" i="32" s="1"/>
  <c r="S18" i="32" s="1"/>
  <c r="W18" i="32" s="1"/>
  <c r="K177" i="32"/>
  <c r="M177" i="32"/>
  <c r="O177" i="32" s="1"/>
  <c r="S177" i="32" s="1"/>
  <c r="W177" i="32" s="1"/>
  <c r="K165" i="32"/>
  <c r="M165" i="32"/>
  <c r="O165" i="32" s="1"/>
  <c r="S165" i="32" s="1"/>
  <c r="W165" i="32" s="1"/>
  <c r="I163" i="32"/>
  <c r="W163" i="32"/>
  <c r="K153" i="32"/>
  <c r="M153" i="32"/>
  <c r="O153" i="32" s="1"/>
  <c r="S153" i="32" s="1"/>
  <c r="W153" i="32" s="1"/>
  <c r="I151" i="32"/>
  <c r="K141" i="32"/>
  <c r="L141" i="32"/>
  <c r="M141" i="32"/>
  <c r="O141" i="32" s="1"/>
  <c r="S141" i="32" s="1"/>
  <c r="W141" i="32" s="1"/>
  <c r="I139" i="32"/>
  <c r="W139" i="32"/>
  <c r="K129" i="32"/>
  <c r="M129" i="32"/>
  <c r="O129" i="32" s="1"/>
  <c r="S129" i="32" s="1"/>
  <c r="W129" i="32" s="1"/>
  <c r="L129" i="32"/>
  <c r="I127" i="32"/>
  <c r="K117" i="32"/>
  <c r="L117" i="32"/>
  <c r="M117" i="32"/>
  <c r="O117" i="32" s="1"/>
  <c r="S117" i="32" s="1"/>
  <c r="W117" i="32" s="1"/>
  <c r="I115" i="32"/>
  <c r="N114" i="32"/>
  <c r="K105" i="32"/>
  <c r="L105" i="32"/>
  <c r="M105" i="32"/>
  <c r="O105" i="32" s="1"/>
  <c r="S105" i="32" s="1"/>
  <c r="W105" i="32" s="1"/>
  <c r="I103" i="32"/>
  <c r="M93" i="32"/>
  <c r="O93" i="32" s="1"/>
  <c r="S93" i="32" s="1"/>
  <c r="W93" i="32" s="1"/>
  <c r="K93" i="32"/>
  <c r="L93" i="32"/>
  <c r="I91" i="32"/>
  <c r="N90" i="32"/>
  <c r="K81" i="32"/>
  <c r="M81" i="32"/>
  <c r="O81" i="32" s="1"/>
  <c r="S81" i="32" s="1"/>
  <c r="W81" i="32" s="1"/>
  <c r="L81" i="32"/>
  <c r="I79" i="32"/>
  <c r="K69" i="32"/>
  <c r="L69" i="32"/>
  <c r="M69" i="32"/>
  <c r="O69" i="32" s="1"/>
  <c r="S69" i="32" s="1"/>
  <c r="W69" i="32" s="1"/>
  <c r="I67" i="32"/>
  <c r="K57" i="32"/>
  <c r="M57" i="32"/>
  <c r="O57" i="32" s="1"/>
  <c r="S57" i="32" s="1"/>
  <c r="W57" i="32" s="1"/>
  <c r="L57" i="32"/>
  <c r="I55" i="32"/>
  <c r="N54" i="32"/>
  <c r="K45" i="32"/>
  <c r="M45" i="32"/>
  <c r="O45" i="32" s="1"/>
  <c r="S45" i="32" s="1"/>
  <c r="W45" i="32" s="1"/>
  <c r="L45" i="32"/>
  <c r="I43" i="32"/>
  <c r="K33" i="32"/>
  <c r="M33" i="32"/>
  <c r="O33" i="32" s="1"/>
  <c r="S33" i="32" s="1"/>
  <c r="L33" i="32"/>
  <c r="I31" i="32"/>
  <c r="K21" i="32"/>
  <c r="L21" i="32"/>
  <c r="M21" i="32"/>
  <c r="O21" i="32" s="1"/>
  <c r="S21" i="32" s="1"/>
  <c r="W21" i="32" s="1"/>
  <c r="I19" i="32"/>
  <c r="N18" i="32"/>
  <c r="W178" i="32"/>
  <c r="L175" i="32"/>
  <c r="K170" i="32"/>
  <c r="N170" i="32" s="1"/>
  <c r="I162" i="32"/>
  <c r="I160" i="32"/>
  <c r="K158" i="32"/>
  <c r="M158" i="32"/>
  <c r="O158" i="32" s="1"/>
  <c r="S158" i="32" s="1"/>
  <c r="W158" i="32" s="1"/>
  <c r="N155" i="32"/>
  <c r="K146" i="32"/>
  <c r="L146" i="32"/>
  <c r="M146" i="32"/>
  <c r="O146" i="32" s="1"/>
  <c r="S146" i="32" s="1"/>
  <c r="W146" i="32" s="1"/>
  <c r="N143" i="32"/>
  <c r="M134" i="32"/>
  <c r="O134" i="32" s="1"/>
  <c r="S134" i="32" s="1"/>
  <c r="W134" i="32" s="1"/>
  <c r="K134" i="32"/>
  <c r="I132" i="32"/>
  <c r="N131" i="32"/>
  <c r="K122" i="32"/>
  <c r="N122" i="32" s="1"/>
  <c r="M122" i="32"/>
  <c r="O122" i="32" s="1"/>
  <c r="S122" i="32" s="1"/>
  <c r="W122" i="32" s="1"/>
  <c r="L122" i="32"/>
  <c r="I120" i="32"/>
  <c r="N119" i="32"/>
  <c r="K110" i="32"/>
  <c r="L110" i="32"/>
  <c r="M110" i="32"/>
  <c r="O110" i="32" s="1"/>
  <c r="S110" i="32" s="1"/>
  <c r="W110" i="32" s="1"/>
  <c r="I108" i="32"/>
  <c r="N107" i="32"/>
  <c r="K98" i="32"/>
  <c r="L98" i="32"/>
  <c r="M98" i="32"/>
  <c r="O98" i="32" s="1"/>
  <c r="S98" i="32" s="1"/>
  <c r="W98" i="32" s="1"/>
  <c r="I96" i="32"/>
  <c r="N95" i="32"/>
  <c r="K86" i="32"/>
  <c r="L86" i="32"/>
  <c r="M86" i="32"/>
  <c r="O86" i="32" s="1"/>
  <c r="S86" i="32" s="1"/>
  <c r="W86" i="32" s="1"/>
  <c r="I84" i="32"/>
  <c r="N83" i="32"/>
  <c r="K74" i="32"/>
  <c r="L74" i="32"/>
  <c r="M74" i="32"/>
  <c r="O74" i="32" s="1"/>
  <c r="S74" i="32" s="1"/>
  <c r="W74" i="32" s="1"/>
  <c r="I72" i="32"/>
  <c r="W72" i="32"/>
  <c r="N71" i="32"/>
  <c r="M62" i="32"/>
  <c r="O62" i="32" s="1"/>
  <c r="S62" i="32" s="1"/>
  <c r="W62" i="32" s="1"/>
  <c r="K62" i="32"/>
  <c r="L62" i="32"/>
  <c r="I60" i="32"/>
  <c r="N59" i="32"/>
  <c r="M50" i="32"/>
  <c r="O50" i="32" s="1"/>
  <c r="S50" i="32" s="1"/>
  <c r="W50" i="32" s="1"/>
  <c r="K50" i="32"/>
  <c r="L50" i="32"/>
  <c r="I48" i="32"/>
  <c r="N47" i="32"/>
  <c r="M38" i="32"/>
  <c r="O38" i="32" s="1"/>
  <c r="S38" i="32" s="1"/>
  <c r="W38" i="32" s="1"/>
  <c r="K38" i="32"/>
  <c r="L38" i="32"/>
  <c r="I36" i="32"/>
  <c r="N35" i="32"/>
  <c r="M26" i="32"/>
  <c r="O26" i="32" s="1"/>
  <c r="S26" i="32" s="1"/>
  <c r="W26" i="32" s="1"/>
  <c r="K26" i="32"/>
  <c r="L26" i="32"/>
  <c r="I24" i="32"/>
  <c r="N23" i="32"/>
  <c r="I178" i="32"/>
  <c r="W173" i="32"/>
  <c r="M172" i="32"/>
  <c r="O172" i="32" s="1"/>
  <c r="S172" i="32" s="1"/>
  <c r="V172" i="32" s="1"/>
  <c r="Y172" i="32" s="1"/>
  <c r="M169" i="32"/>
  <c r="O169" i="32" s="1"/>
  <c r="S169" i="32" s="1"/>
  <c r="L153" i="32"/>
  <c r="K136" i="32"/>
  <c r="I148" i="32"/>
  <c r="W148" i="32"/>
  <c r="K138" i="32"/>
  <c r="L138" i="32"/>
  <c r="N138" i="32" s="1"/>
  <c r="M138" i="32"/>
  <c r="O138" i="32" s="1"/>
  <c r="S138" i="32" s="1"/>
  <c r="I124" i="32"/>
  <c r="W124" i="32"/>
  <c r="I16" i="32"/>
  <c r="W16" i="32"/>
  <c r="U173" i="32"/>
  <c r="Z173" i="32" s="1"/>
  <c r="K163" i="32"/>
  <c r="I161" i="32"/>
  <c r="K151" i="32"/>
  <c r="I149" i="32"/>
  <c r="N148" i="32"/>
  <c r="K139" i="32"/>
  <c r="L139" i="32"/>
  <c r="N139" i="32" s="1"/>
  <c r="I137" i="32"/>
  <c r="N136" i="32"/>
  <c r="M127" i="32"/>
  <c r="O127" i="32" s="1"/>
  <c r="S127" i="32" s="1"/>
  <c r="W127" i="32" s="1"/>
  <c r="K127" i="32"/>
  <c r="L127" i="32"/>
  <c r="I125" i="32"/>
  <c r="N124" i="32"/>
  <c r="M115" i="32"/>
  <c r="O115" i="32" s="1"/>
  <c r="S115" i="32" s="1"/>
  <c r="W115" i="32" s="1"/>
  <c r="L115" i="32"/>
  <c r="I113" i="32"/>
  <c r="N112" i="32"/>
  <c r="K103" i="32"/>
  <c r="L103" i="32"/>
  <c r="M103" i="32"/>
  <c r="O103" i="32" s="1"/>
  <c r="S103" i="32" s="1"/>
  <c r="W103" i="32" s="1"/>
  <c r="I101" i="32"/>
  <c r="N100" i="32"/>
  <c r="K91" i="32"/>
  <c r="M91" i="32"/>
  <c r="O91" i="32" s="1"/>
  <c r="S91" i="32" s="1"/>
  <c r="W91" i="32" s="1"/>
  <c r="L91" i="32"/>
  <c r="I89" i="32"/>
  <c r="N88" i="32"/>
  <c r="K79" i="32"/>
  <c r="L79" i="32"/>
  <c r="M79" i="32"/>
  <c r="O79" i="32" s="1"/>
  <c r="S79" i="32" s="1"/>
  <c r="W79" i="32" s="1"/>
  <c r="I77" i="32"/>
  <c r="N76" i="32"/>
  <c r="K67" i="32"/>
  <c r="L67" i="32"/>
  <c r="M67" i="32"/>
  <c r="O67" i="32" s="1"/>
  <c r="S67" i="32" s="1"/>
  <c r="W67" i="32" s="1"/>
  <c r="I65" i="32"/>
  <c r="N64" i="32"/>
  <c r="K55" i="32"/>
  <c r="M55" i="32"/>
  <c r="O55" i="32" s="1"/>
  <c r="S55" i="32" s="1"/>
  <c r="W55" i="32" s="1"/>
  <c r="L55" i="32"/>
  <c r="I53" i="32"/>
  <c r="K43" i="32"/>
  <c r="M43" i="32"/>
  <c r="O43" i="32" s="1"/>
  <c r="S43" i="32" s="1"/>
  <c r="W43" i="32" s="1"/>
  <c r="L43" i="32"/>
  <c r="I41" i="32"/>
  <c r="N40" i="32"/>
  <c r="K31" i="32"/>
  <c r="M31" i="32"/>
  <c r="O31" i="32" s="1"/>
  <c r="S31" i="32" s="1"/>
  <c r="W31" i="32" s="1"/>
  <c r="L31" i="32"/>
  <c r="I29" i="32"/>
  <c r="N28" i="32"/>
  <c r="K19" i="32"/>
  <c r="L19" i="32"/>
  <c r="M19" i="32"/>
  <c r="O19" i="32" s="1"/>
  <c r="S19" i="32" s="1"/>
  <c r="W19" i="32" s="1"/>
  <c r="I17" i="32"/>
  <c r="W17" i="32"/>
  <c r="N16" i="32"/>
  <c r="M179" i="32"/>
  <c r="O179" i="32" s="1"/>
  <c r="S179" i="32" s="1"/>
  <c r="U179" i="32" s="1"/>
  <c r="V173" i="32"/>
  <c r="Y173" i="32" s="1"/>
  <c r="L172" i="32"/>
  <c r="N172" i="32" s="1"/>
  <c r="X170" i="32"/>
  <c r="L169" i="32"/>
  <c r="M151" i="32"/>
  <c r="O151" i="32" s="1"/>
  <c r="S151" i="32" s="1"/>
  <c r="W151" i="32" s="1"/>
  <c r="W100" i="32"/>
  <c r="I100" i="32"/>
  <c r="K78" i="32"/>
  <c r="M78" i="32"/>
  <c r="O78" i="32" s="1"/>
  <c r="S78" i="32" s="1"/>
  <c r="L78" i="32"/>
  <c r="I64" i="32"/>
  <c r="W64" i="32"/>
  <c r="K42" i="32"/>
  <c r="M42" i="32"/>
  <c r="O42" i="32" s="1"/>
  <c r="S42" i="32" s="1"/>
  <c r="L42" i="32"/>
  <c r="N42" i="32" s="1"/>
  <c r="L150" i="32"/>
  <c r="K168" i="32"/>
  <c r="N168" i="32" s="1"/>
  <c r="M168" i="32"/>
  <c r="O168" i="32" s="1"/>
  <c r="S168" i="32" s="1"/>
  <c r="W168" i="32" s="1"/>
  <c r="I166" i="32"/>
  <c r="W166" i="32"/>
  <c r="K156" i="32"/>
  <c r="M156" i="32"/>
  <c r="O156" i="32" s="1"/>
  <c r="S156" i="32" s="1"/>
  <c r="W156" i="32" s="1"/>
  <c r="I154" i="32"/>
  <c r="N153" i="32"/>
  <c r="K144" i="32"/>
  <c r="L144" i="32"/>
  <c r="M144" i="32"/>
  <c r="O144" i="32" s="1"/>
  <c r="S144" i="32" s="1"/>
  <c r="V144" i="32" s="1"/>
  <c r="Y144" i="32" s="1"/>
  <c r="I142" i="32"/>
  <c r="N141" i="32"/>
  <c r="K132" i="32"/>
  <c r="M132" i="32"/>
  <c r="O132" i="32" s="1"/>
  <c r="S132" i="32" s="1"/>
  <c r="W132" i="32" s="1"/>
  <c r="L132" i="32"/>
  <c r="I130" i="32"/>
  <c r="N129" i="32"/>
  <c r="K120" i="32"/>
  <c r="L120" i="32"/>
  <c r="M120" i="32"/>
  <c r="O120" i="32" s="1"/>
  <c r="S120" i="32" s="1"/>
  <c r="W120" i="32" s="1"/>
  <c r="I118" i="32"/>
  <c r="N117" i="32"/>
  <c r="K108" i="32"/>
  <c r="L108" i="32"/>
  <c r="M108" i="32"/>
  <c r="O108" i="32" s="1"/>
  <c r="S108" i="32" s="1"/>
  <c r="W108" i="32" s="1"/>
  <c r="I106" i="32"/>
  <c r="N105" i="32"/>
  <c r="M96" i="32"/>
  <c r="O96" i="32" s="1"/>
  <c r="S96" i="32" s="1"/>
  <c r="W96" i="32" s="1"/>
  <c r="K96" i="32"/>
  <c r="L96" i="32"/>
  <c r="I94" i="32"/>
  <c r="N93" i="32"/>
  <c r="M84" i="32"/>
  <c r="O84" i="32" s="1"/>
  <c r="S84" i="32" s="1"/>
  <c r="W84" i="32" s="1"/>
  <c r="K84" i="32"/>
  <c r="L84" i="32"/>
  <c r="I82" i="32"/>
  <c r="N81" i="32"/>
  <c r="K72" i="32"/>
  <c r="M72" i="32"/>
  <c r="O72" i="32" s="1"/>
  <c r="S72" i="32" s="1"/>
  <c r="L72" i="32"/>
  <c r="N69" i="32"/>
  <c r="K60" i="32"/>
  <c r="L60" i="32"/>
  <c r="M60" i="32"/>
  <c r="O60" i="32" s="1"/>
  <c r="S60" i="32" s="1"/>
  <c r="W60" i="32" s="1"/>
  <c r="I58" i="32"/>
  <c r="W58" i="32"/>
  <c r="N57" i="32"/>
  <c r="K48" i="32"/>
  <c r="M48" i="32"/>
  <c r="O48" i="32" s="1"/>
  <c r="S48" i="32" s="1"/>
  <c r="W48" i="32" s="1"/>
  <c r="L48" i="32"/>
  <c r="I46" i="32"/>
  <c r="N45" i="32"/>
  <c r="K36" i="32"/>
  <c r="M36" i="32"/>
  <c r="O36" i="32" s="1"/>
  <c r="S36" i="32" s="1"/>
  <c r="W36" i="32" s="1"/>
  <c r="L36" i="32"/>
  <c r="I34" i="32"/>
  <c r="N33" i="32"/>
  <c r="K24" i="32"/>
  <c r="L24" i="32"/>
  <c r="M24" i="32"/>
  <c r="O24" i="32" s="1"/>
  <c r="S24" i="32" s="1"/>
  <c r="W24" i="32" s="1"/>
  <c r="I22" i="32"/>
  <c r="N21" i="32"/>
  <c r="L179" i="32"/>
  <c r="L177" i="32"/>
  <c r="W175" i="32"/>
  <c r="W170" i="32"/>
  <c r="L165" i="32"/>
  <c r="N165" i="32" s="1"/>
  <c r="I153" i="32"/>
  <c r="L151" i="32"/>
  <c r="I141" i="32"/>
  <c r="I70" i="32"/>
  <c r="K102" i="32"/>
  <c r="L102" i="32"/>
  <c r="M102" i="32"/>
  <c r="O102" i="32" s="1"/>
  <c r="S102" i="32" s="1"/>
  <c r="W102" i="32" s="1"/>
  <c r="W88" i="32"/>
  <c r="I88" i="32"/>
  <c r="K161" i="32"/>
  <c r="M161" i="32"/>
  <c r="O161" i="32" s="1"/>
  <c r="S161" i="32" s="1"/>
  <c r="W161" i="32" s="1"/>
  <c r="K149" i="32"/>
  <c r="L149" i="32"/>
  <c r="M149" i="32"/>
  <c r="O149" i="32" s="1"/>
  <c r="S149" i="32" s="1"/>
  <c r="W149" i="32" s="1"/>
  <c r="N146" i="32"/>
  <c r="M137" i="32"/>
  <c r="O137" i="32" s="1"/>
  <c r="S137" i="32" s="1"/>
  <c r="W137" i="32" s="1"/>
  <c r="L137" i="32"/>
  <c r="I135" i="32"/>
  <c r="N134" i="32"/>
  <c r="K125" i="32"/>
  <c r="M125" i="32"/>
  <c r="O125" i="32" s="1"/>
  <c r="S125" i="32" s="1"/>
  <c r="W125" i="32" s="1"/>
  <c r="I123" i="32"/>
  <c r="K113" i="32"/>
  <c r="L113" i="32"/>
  <c r="M113" i="32"/>
  <c r="O113" i="32" s="1"/>
  <c r="S113" i="32" s="1"/>
  <c r="W113" i="32" s="1"/>
  <c r="I111" i="32"/>
  <c r="N110" i="32"/>
  <c r="K101" i="32"/>
  <c r="L101" i="32"/>
  <c r="M101" i="32"/>
  <c r="O101" i="32" s="1"/>
  <c r="S101" i="32" s="1"/>
  <c r="W101" i="32" s="1"/>
  <c r="I99" i="32"/>
  <c r="W99" i="32"/>
  <c r="N98" i="32"/>
  <c r="K89" i="32"/>
  <c r="L89" i="32"/>
  <c r="M89" i="32"/>
  <c r="O89" i="32" s="1"/>
  <c r="S89" i="32" s="1"/>
  <c r="W89" i="32" s="1"/>
  <c r="I87" i="32"/>
  <c r="N86" i="32"/>
  <c r="K77" i="32"/>
  <c r="L77" i="32"/>
  <c r="M77" i="32"/>
  <c r="O77" i="32" s="1"/>
  <c r="S77" i="32" s="1"/>
  <c r="W77" i="32" s="1"/>
  <c r="I75" i="32"/>
  <c r="N74" i="32"/>
  <c r="M65" i="32"/>
  <c r="O65" i="32" s="1"/>
  <c r="S65" i="32" s="1"/>
  <c r="W65" i="32" s="1"/>
  <c r="K65" i="32"/>
  <c r="L65" i="32"/>
  <c r="I63" i="32"/>
  <c r="N62" i="32"/>
  <c r="M53" i="32"/>
  <c r="O53" i="32" s="1"/>
  <c r="S53" i="32" s="1"/>
  <c r="W53" i="32" s="1"/>
  <c r="K53" i="32"/>
  <c r="L53" i="32"/>
  <c r="I51" i="32"/>
  <c r="N50" i="32"/>
  <c r="M41" i="32"/>
  <c r="O41" i="32" s="1"/>
  <c r="S41" i="32" s="1"/>
  <c r="W41" i="32" s="1"/>
  <c r="K41" i="32"/>
  <c r="L41" i="32"/>
  <c r="I39" i="32"/>
  <c r="N38" i="32"/>
  <c r="M29" i="32"/>
  <c r="O29" i="32" s="1"/>
  <c r="S29" i="32" s="1"/>
  <c r="W29" i="32" s="1"/>
  <c r="K29" i="32"/>
  <c r="L29" i="32"/>
  <c r="I27" i="32"/>
  <c r="N26" i="32"/>
  <c r="M17" i="32"/>
  <c r="O17" i="32" s="1"/>
  <c r="S17" i="32" s="1"/>
  <c r="K17" i="32"/>
  <c r="L17" i="32"/>
  <c r="I15" i="32"/>
  <c r="W179" i="32"/>
  <c r="V170" i="32"/>
  <c r="Y170" i="32" s="1"/>
  <c r="I159" i="32"/>
  <c r="K115" i="32"/>
  <c r="W76" i="32"/>
  <c r="I76" i="32"/>
  <c r="K66" i="32"/>
  <c r="L66" i="32"/>
  <c r="N66" i="32" s="1"/>
  <c r="M66" i="32"/>
  <c r="O66" i="32" s="1"/>
  <c r="S66" i="32" s="1"/>
  <c r="I52" i="32"/>
  <c r="W52" i="32"/>
  <c r="K166" i="32"/>
  <c r="I164" i="32"/>
  <c r="N163" i="32"/>
  <c r="K154" i="32"/>
  <c r="I152" i="32"/>
  <c r="N151" i="32"/>
  <c r="K142" i="32"/>
  <c r="L142" i="32"/>
  <c r="I140" i="32"/>
  <c r="M130" i="32"/>
  <c r="O130" i="32" s="1"/>
  <c r="S130" i="32" s="1"/>
  <c r="W130" i="32" s="1"/>
  <c r="K130" i="32"/>
  <c r="L130" i="32"/>
  <c r="I128" i="32"/>
  <c r="N127" i="32"/>
  <c r="M118" i="32"/>
  <c r="O118" i="32" s="1"/>
  <c r="S118" i="32" s="1"/>
  <c r="W118" i="32" s="1"/>
  <c r="K118" i="32"/>
  <c r="L118" i="32"/>
  <c r="I116" i="32"/>
  <c r="N115" i="32"/>
  <c r="M106" i="32"/>
  <c r="O106" i="32" s="1"/>
  <c r="S106" i="32" s="1"/>
  <c r="W106" i="32" s="1"/>
  <c r="K106" i="32"/>
  <c r="L106" i="32"/>
  <c r="I104" i="32"/>
  <c r="N103" i="32"/>
  <c r="K94" i="32"/>
  <c r="M94" i="32"/>
  <c r="O94" i="32" s="1"/>
  <c r="S94" i="32" s="1"/>
  <c r="W94" i="32" s="1"/>
  <c r="L94" i="32"/>
  <c r="I92" i="32"/>
  <c r="N91" i="32"/>
  <c r="K82" i="32"/>
  <c r="L82" i="32"/>
  <c r="M82" i="32"/>
  <c r="O82" i="32" s="1"/>
  <c r="S82" i="32" s="1"/>
  <c r="W82" i="32" s="1"/>
  <c r="I80" i="32"/>
  <c r="N79" i="32"/>
  <c r="K70" i="32"/>
  <c r="L70" i="32"/>
  <c r="M70" i="32"/>
  <c r="O70" i="32" s="1"/>
  <c r="S70" i="32" s="1"/>
  <c r="W70" i="32" s="1"/>
  <c r="I68" i="32"/>
  <c r="N67" i="32"/>
  <c r="K58" i="32"/>
  <c r="M58" i="32"/>
  <c r="O58" i="32" s="1"/>
  <c r="S58" i="32" s="1"/>
  <c r="L58" i="32"/>
  <c r="I56" i="32"/>
  <c r="N55" i="32"/>
  <c r="K46" i="32"/>
  <c r="M46" i="32"/>
  <c r="O46" i="32" s="1"/>
  <c r="S46" i="32" s="1"/>
  <c r="W46" i="32" s="1"/>
  <c r="L46" i="32"/>
  <c r="N46" i="32" s="1"/>
  <c r="I44" i="32"/>
  <c r="N43" i="32"/>
  <c r="K34" i="32"/>
  <c r="M34" i="32"/>
  <c r="O34" i="32" s="1"/>
  <c r="S34" i="32" s="1"/>
  <c r="W34" i="32" s="1"/>
  <c r="L34" i="32"/>
  <c r="I32" i="32"/>
  <c r="N31" i="32"/>
  <c r="K22" i="32"/>
  <c r="L22" i="32"/>
  <c r="M22" i="32"/>
  <c r="O22" i="32" s="1"/>
  <c r="S22" i="32" s="1"/>
  <c r="W22" i="32" s="1"/>
  <c r="I20" i="32"/>
  <c r="N19" i="32"/>
  <c r="I177" i="32"/>
  <c r="W172" i="32"/>
  <c r="L168" i="32"/>
  <c r="L166" i="32"/>
  <c r="I165" i="32"/>
  <c r="M160" i="32"/>
  <c r="O160" i="32" s="1"/>
  <c r="S160" i="32" s="1"/>
  <c r="W160" i="32" s="1"/>
  <c r="L156" i="32"/>
  <c r="K126" i="32"/>
  <c r="M126" i="32"/>
  <c r="O126" i="32" s="1"/>
  <c r="S126" i="32" s="1"/>
  <c r="L126" i="32"/>
  <c r="I112" i="32"/>
  <c r="W112" i="32"/>
  <c r="K171" i="32"/>
  <c r="N171" i="32" s="1"/>
  <c r="M171" i="32"/>
  <c r="O171" i="32" s="1"/>
  <c r="S171" i="32" s="1"/>
  <c r="X171" i="32" s="1"/>
  <c r="U169" i="32"/>
  <c r="K159" i="32"/>
  <c r="M159" i="32"/>
  <c r="O159" i="32" s="1"/>
  <c r="S159" i="32" s="1"/>
  <c r="W159" i="32" s="1"/>
  <c r="I157" i="32"/>
  <c r="N156" i="32"/>
  <c r="K147" i="32"/>
  <c r="L147" i="32"/>
  <c r="M147" i="32"/>
  <c r="O147" i="32" s="1"/>
  <c r="S147" i="32" s="1"/>
  <c r="W147" i="32" s="1"/>
  <c r="I145" i="32"/>
  <c r="W145" i="32"/>
  <c r="N144" i="32"/>
  <c r="K135" i="32"/>
  <c r="M135" i="32"/>
  <c r="O135" i="32" s="1"/>
  <c r="S135" i="32" s="1"/>
  <c r="W135" i="32" s="1"/>
  <c r="I133" i="32"/>
  <c r="N132" i="32"/>
  <c r="K123" i="32"/>
  <c r="N123" i="32" s="1"/>
  <c r="L123" i="32"/>
  <c r="M123" i="32"/>
  <c r="O123" i="32" s="1"/>
  <c r="S123" i="32" s="1"/>
  <c r="W123" i="32" s="1"/>
  <c r="I121" i="32"/>
  <c r="N120" i="32"/>
  <c r="K111" i="32"/>
  <c r="L111" i="32"/>
  <c r="M111" i="32"/>
  <c r="O111" i="32" s="1"/>
  <c r="S111" i="32" s="1"/>
  <c r="W111" i="32" s="1"/>
  <c r="I109" i="32"/>
  <c r="N108" i="32"/>
  <c r="M99" i="32"/>
  <c r="O99" i="32" s="1"/>
  <c r="S99" i="32" s="1"/>
  <c r="K99" i="32"/>
  <c r="N99" i="32" s="1"/>
  <c r="L99" i="32"/>
  <c r="I97" i="32"/>
  <c r="N96" i="32"/>
  <c r="M87" i="32"/>
  <c r="O87" i="32" s="1"/>
  <c r="S87" i="32" s="1"/>
  <c r="W87" i="32" s="1"/>
  <c r="K87" i="32"/>
  <c r="L87" i="32"/>
  <c r="I85" i="32"/>
  <c r="N84" i="32"/>
  <c r="K75" i="32"/>
  <c r="N75" i="32" s="1"/>
  <c r="M75" i="32"/>
  <c r="O75" i="32" s="1"/>
  <c r="S75" i="32" s="1"/>
  <c r="W75" i="32" s="1"/>
  <c r="L75" i="32"/>
  <c r="I73" i="32"/>
  <c r="N72" i="32"/>
  <c r="K63" i="32"/>
  <c r="L63" i="32"/>
  <c r="M63" i="32"/>
  <c r="O63" i="32" s="1"/>
  <c r="S63" i="32" s="1"/>
  <c r="W63" i="32" s="1"/>
  <c r="I61" i="32"/>
  <c r="N60" i="32"/>
  <c r="K51" i="32"/>
  <c r="N51" i="32" s="1"/>
  <c r="M51" i="32"/>
  <c r="O51" i="32" s="1"/>
  <c r="S51" i="32" s="1"/>
  <c r="W51" i="32" s="1"/>
  <c r="L51" i="32"/>
  <c r="I49" i="32"/>
  <c r="N48" i="32"/>
  <c r="K39" i="32"/>
  <c r="M39" i="32"/>
  <c r="O39" i="32" s="1"/>
  <c r="S39" i="32" s="1"/>
  <c r="W39" i="32" s="1"/>
  <c r="L39" i="32"/>
  <c r="I37" i="32"/>
  <c r="N36" i="32"/>
  <c r="K27" i="32"/>
  <c r="N27" i="32" s="1"/>
  <c r="M27" i="32"/>
  <c r="O27" i="32" s="1"/>
  <c r="S27" i="32" s="1"/>
  <c r="W27" i="32" s="1"/>
  <c r="L27" i="32"/>
  <c r="I25" i="32"/>
  <c r="N24" i="32"/>
  <c r="K15" i="32"/>
  <c r="L15" i="32"/>
  <c r="M15" i="32"/>
  <c r="O15" i="32" s="1"/>
  <c r="S15" i="32" s="1"/>
  <c r="W15" i="32" s="1"/>
  <c r="W169" i="32"/>
  <c r="L167" i="32"/>
  <c r="L160" i="32"/>
  <c r="N160" i="32" s="1"/>
  <c r="M154" i="32"/>
  <c r="O154" i="32" s="1"/>
  <c r="S154" i="32" s="1"/>
  <c r="W154" i="32" s="1"/>
  <c r="N147" i="32"/>
  <c r="N87" i="32"/>
  <c r="I28" i="32"/>
  <c r="W28" i="32"/>
  <c r="K164" i="32"/>
  <c r="M164" i="32"/>
  <c r="O164" i="32" s="1"/>
  <c r="S164" i="32" s="1"/>
  <c r="W164" i="32" s="1"/>
  <c r="W162" i="32"/>
  <c r="K152" i="32"/>
  <c r="L152" i="32"/>
  <c r="M152" i="32"/>
  <c r="O152" i="32" s="1"/>
  <c r="S152" i="32" s="1"/>
  <c r="W152" i="32" s="1"/>
  <c r="N149" i="32"/>
  <c r="K140" i="32"/>
  <c r="L140" i="32"/>
  <c r="N140" i="32" s="1"/>
  <c r="M140" i="32"/>
  <c r="O140" i="32" s="1"/>
  <c r="S140" i="32" s="1"/>
  <c r="W140" i="32" s="1"/>
  <c r="I138" i="32"/>
  <c r="W138" i="32"/>
  <c r="N137" i="32"/>
  <c r="K128" i="32"/>
  <c r="M128" i="32"/>
  <c r="O128" i="32" s="1"/>
  <c r="S128" i="32" s="1"/>
  <c r="W128" i="32" s="1"/>
  <c r="L128" i="32"/>
  <c r="I126" i="32"/>
  <c r="W126" i="32"/>
  <c r="K116" i="32"/>
  <c r="L116" i="32"/>
  <c r="N116" i="32" s="1"/>
  <c r="M116" i="32"/>
  <c r="O116" i="32" s="1"/>
  <c r="S116" i="32" s="1"/>
  <c r="W116" i="32" s="1"/>
  <c r="I114" i="32"/>
  <c r="W114" i="32"/>
  <c r="N113" i="32"/>
  <c r="K104" i="32"/>
  <c r="L104" i="32"/>
  <c r="M104" i="32"/>
  <c r="O104" i="32" s="1"/>
  <c r="S104" i="32" s="1"/>
  <c r="W104" i="32" s="1"/>
  <c r="I102" i="32"/>
  <c r="N101" i="32"/>
  <c r="K92" i="32"/>
  <c r="L92" i="32"/>
  <c r="N92" i="32" s="1"/>
  <c r="M92" i="32"/>
  <c r="O92" i="32" s="1"/>
  <c r="S92" i="32" s="1"/>
  <c r="W92" i="32" s="1"/>
  <c r="I90" i="32"/>
  <c r="N89" i="32"/>
  <c r="K80" i="32"/>
  <c r="L80" i="32"/>
  <c r="M80" i="32"/>
  <c r="O80" i="32" s="1"/>
  <c r="S80" i="32" s="1"/>
  <c r="W80" i="32" s="1"/>
  <c r="I78" i="32"/>
  <c r="W78" i="32"/>
  <c r="N77" i="32"/>
  <c r="K68" i="32"/>
  <c r="L68" i="32"/>
  <c r="N68" i="32" s="1"/>
  <c r="M68" i="32"/>
  <c r="O68" i="32" s="1"/>
  <c r="S68" i="32" s="1"/>
  <c r="W68" i="32" s="1"/>
  <c r="I66" i="32"/>
  <c r="W66" i="32"/>
  <c r="N65" i="32"/>
  <c r="M56" i="32"/>
  <c r="O56" i="32" s="1"/>
  <c r="S56" i="32" s="1"/>
  <c r="W56" i="32" s="1"/>
  <c r="K56" i="32"/>
  <c r="L56" i="32"/>
  <c r="I54" i="32"/>
  <c r="W54" i="32"/>
  <c r="N53" i="32"/>
  <c r="M44" i="32"/>
  <c r="O44" i="32" s="1"/>
  <c r="S44" i="32" s="1"/>
  <c r="W44" i="32" s="1"/>
  <c r="K44" i="32"/>
  <c r="L44" i="32"/>
  <c r="N44" i="32" s="1"/>
  <c r="I42" i="32"/>
  <c r="W42" i="32"/>
  <c r="N41" i="32"/>
  <c r="M32" i="32"/>
  <c r="O32" i="32" s="1"/>
  <c r="S32" i="32" s="1"/>
  <c r="W32" i="32" s="1"/>
  <c r="K32" i="32"/>
  <c r="L32" i="32"/>
  <c r="I30" i="32"/>
  <c r="N29" i="32"/>
  <c r="M20" i="32"/>
  <c r="O20" i="32" s="1"/>
  <c r="S20" i="32" s="1"/>
  <c r="W20" i="32" s="1"/>
  <c r="K20" i="32"/>
  <c r="L20" i="32"/>
  <c r="N20" i="32" s="1"/>
  <c r="I18" i="32"/>
  <c r="N17" i="32"/>
  <c r="M176" i="32"/>
  <c r="O176" i="32" s="1"/>
  <c r="S176" i="32" s="1"/>
  <c r="U176" i="32" s="1"/>
  <c r="I174" i="32"/>
  <c r="L171" i="32"/>
  <c r="V169" i="32"/>
  <c r="Y169" i="32" s="1"/>
  <c r="I168" i="32"/>
  <c r="I156" i="32"/>
  <c r="L154" i="32"/>
  <c r="M142" i="32"/>
  <c r="O142" i="32" s="1"/>
  <c r="S142" i="32" s="1"/>
  <c r="W142" i="32" s="1"/>
  <c r="W90" i="32"/>
  <c r="K174" i="32"/>
  <c r="M174" i="32"/>
  <c r="O174" i="32" s="1"/>
  <c r="S174" i="32" s="1"/>
  <c r="W174" i="32" s="1"/>
  <c r="N39" i="32"/>
  <c r="K30" i="32"/>
  <c r="M30" i="32"/>
  <c r="O30" i="32" s="1"/>
  <c r="S30" i="32" s="1"/>
  <c r="W30" i="32" s="1"/>
  <c r="L30" i="32"/>
  <c r="I167" i="32"/>
  <c r="W167" i="32"/>
  <c r="N166" i="32"/>
  <c r="K157" i="32"/>
  <c r="I155" i="32"/>
  <c r="W155" i="32"/>
  <c r="N154" i="32"/>
  <c r="K145" i="32"/>
  <c r="N145" i="32" s="1"/>
  <c r="L145" i="32"/>
  <c r="I143" i="32"/>
  <c r="W143" i="32"/>
  <c r="N142" i="32"/>
  <c r="M133" i="32"/>
  <c r="O133" i="32" s="1"/>
  <c r="S133" i="32" s="1"/>
  <c r="W133" i="32" s="1"/>
  <c r="L133" i="32"/>
  <c r="I131" i="32"/>
  <c r="W131" i="32"/>
  <c r="N130" i="32"/>
  <c r="M121" i="32"/>
  <c r="O121" i="32" s="1"/>
  <c r="S121" i="32" s="1"/>
  <c r="W121" i="32" s="1"/>
  <c r="K121" i="32"/>
  <c r="N121" i="32" s="1"/>
  <c r="L121" i="32"/>
  <c r="I119" i="32"/>
  <c r="W119" i="32"/>
  <c r="N118" i="32"/>
  <c r="M109" i="32"/>
  <c r="O109" i="32" s="1"/>
  <c r="S109" i="32" s="1"/>
  <c r="W109" i="32" s="1"/>
  <c r="K109" i="32"/>
  <c r="L109" i="32"/>
  <c r="I107" i="32"/>
  <c r="W107" i="32"/>
  <c r="N106" i="32"/>
  <c r="K97" i="32"/>
  <c r="M97" i="32"/>
  <c r="O97" i="32" s="1"/>
  <c r="S97" i="32" s="1"/>
  <c r="W97" i="32" s="1"/>
  <c r="L97" i="32"/>
  <c r="I95" i="32"/>
  <c r="W95" i="32"/>
  <c r="N94" i="32"/>
  <c r="K85" i="32"/>
  <c r="L85" i="32"/>
  <c r="M85" i="32"/>
  <c r="O85" i="32" s="1"/>
  <c r="S85" i="32" s="1"/>
  <c r="W85" i="32" s="1"/>
  <c r="I83" i="32"/>
  <c r="W83" i="32"/>
  <c r="N82" i="32"/>
  <c r="K73" i="32"/>
  <c r="N73" i="32" s="1"/>
  <c r="L73" i="32"/>
  <c r="M73" i="32"/>
  <c r="O73" i="32" s="1"/>
  <c r="S73" i="32" s="1"/>
  <c r="W73" i="32" s="1"/>
  <c r="I71" i="32"/>
  <c r="W71" i="32"/>
  <c r="N70" i="32"/>
  <c r="K61" i="32"/>
  <c r="M61" i="32"/>
  <c r="O61" i="32" s="1"/>
  <c r="S61" i="32" s="1"/>
  <c r="W61" i="32" s="1"/>
  <c r="L61" i="32"/>
  <c r="I59" i="32"/>
  <c r="W59" i="32"/>
  <c r="N58" i="32"/>
  <c r="K49" i="32"/>
  <c r="N49" i="32" s="1"/>
  <c r="M49" i="32"/>
  <c r="O49" i="32" s="1"/>
  <c r="S49" i="32" s="1"/>
  <c r="W49" i="32" s="1"/>
  <c r="L49" i="32"/>
  <c r="I47" i="32"/>
  <c r="W47" i="32"/>
  <c r="K37" i="32"/>
  <c r="M37" i="32"/>
  <c r="O37" i="32" s="1"/>
  <c r="S37" i="32" s="1"/>
  <c r="W37" i="32" s="1"/>
  <c r="L37" i="32"/>
  <c r="I35" i="32"/>
  <c r="W35" i="32"/>
  <c r="N34" i="32"/>
  <c r="K25" i="32"/>
  <c r="N25" i="32" s="1"/>
  <c r="L25" i="32"/>
  <c r="M25" i="32"/>
  <c r="O25" i="32" s="1"/>
  <c r="S25" i="32" s="1"/>
  <c r="W25" i="32" s="1"/>
  <c r="I23" i="32"/>
  <c r="W23" i="32"/>
  <c r="N22" i="32"/>
  <c r="M157" i="32"/>
  <c r="O157" i="32" s="1"/>
  <c r="S157" i="32" s="1"/>
  <c r="W157" i="32" s="1"/>
  <c r="I147" i="32"/>
  <c r="K137" i="32"/>
  <c r="L125" i="32"/>
  <c r="N125" i="32" s="1"/>
  <c r="R156" i="3"/>
  <c r="Q156" i="3"/>
  <c r="AA163" i="3"/>
  <c r="AB163" i="3" s="1"/>
  <c r="AD163" i="3" s="1"/>
  <c r="AC163" i="3"/>
  <c r="T163" i="3"/>
  <c r="AF163" i="3"/>
  <c r="U157" i="3"/>
  <c r="N157" i="3"/>
  <c r="O157" i="3" s="1"/>
  <c r="U136" i="3"/>
  <c r="X136" i="3"/>
  <c r="P136" i="3" s="1"/>
  <c r="U124" i="3"/>
  <c r="X124" i="3"/>
  <c r="P124" i="3" s="1"/>
  <c r="U118" i="3"/>
  <c r="N118" i="3"/>
  <c r="O118" i="3" s="1"/>
  <c r="U109" i="3"/>
  <c r="N109" i="3"/>
  <c r="O109" i="3" s="1"/>
  <c r="U97" i="3"/>
  <c r="N97" i="3"/>
  <c r="O97" i="3" s="1"/>
  <c r="U88" i="3"/>
  <c r="N88" i="3"/>
  <c r="O88" i="3" s="1"/>
  <c r="X88" i="3"/>
  <c r="P88" i="3" s="1"/>
  <c r="U82" i="3"/>
  <c r="AG82" i="3" s="1"/>
  <c r="N82" i="3"/>
  <c r="O82" i="3" s="1"/>
  <c r="U70" i="3"/>
  <c r="N70" i="3"/>
  <c r="O70" i="3" s="1"/>
  <c r="AA151" i="3"/>
  <c r="AB151" i="3" s="1"/>
  <c r="AD151" i="3" s="1"/>
  <c r="AC151" i="3"/>
  <c r="T151" i="3"/>
  <c r="AE166" i="3"/>
  <c r="AE151" i="3"/>
  <c r="AE130" i="3"/>
  <c r="AE94" i="3"/>
  <c r="AG166" i="3"/>
  <c r="X159" i="3"/>
  <c r="P159" i="3" s="1"/>
  <c r="AF155" i="3"/>
  <c r="AG151" i="3"/>
  <c r="AA31" i="3"/>
  <c r="AB31" i="3" s="1"/>
  <c r="AD31" i="3" s="1"/>
  <c r="AC31" i="3"/>
  <c r="T31" i="3"/>
  <c r="AF31" i="3"/>
  <c r="AA139" i="3"/>
  <c r="AB139" i="3" s="1"/>
  <c r="AD139" i="3" s="1"/>
  <c r="AC139" i="3"/>
  <c r="T139" i="3"/>
  <c r="AF139" i="3"/>
  <c r="V173" i="3"/>
  <c r="W173" i="3"/>
  <c r="K173" i="3"/>
  <c r="AA173" i="3"/>
  <c r="AB173" i="3" s="1"/>
  <c r="AD173" i="3" s="1"/>
  <c r="V170" i="3"/>
  <c r="W170" i="3"/>
  <c r="K170" i="3"/>
  <c r="AA170" i="3"/>
  <c r="AB170" i="3" s="1"/>
  <c r="K167" i="3"/>
  <c r="AA167" i="3"/>
  <c r="AB167" i="3" s="1"/>
  <c r="AD167" i="3" s="1"/>
  <c r="V167" i="3"/>
  <c r="AA164" i="3"/>
  <c r="AB164" i="3" s="1"/>
  <c r="AD164" i="3" s="1"/>
  <c r="V164" i="3"/>
  <c r="W164" i="3"/>
  <c r="V161" i="3"/>
  <c r="W161" i="3"/>
  <c r="K161" i="3"/>
  <c r="AA161" i="3"/>
  <c r="AB161" i="3" s="1"/>
  <c r="AA158" i="3"/>
  <c r="AB158" i="3" s="1"/>
  <c r="V158" i="3"/>
  <c r="K158" i="3"/>
  <c r="W158" i="3"/>
  <c r="AA155" i="3"/>
  <c r="AB155" i="3" s="1"/>
  <c r="AD155" i="3" s="1"/>
  <c r="K155" i="3"/>
  <c r="V155" i="3"/>
  <c r="W155" i="3"/>
  <c r="AA152" i="3"/>
  <c r="AB152" i="3" s="1"/>
  <c r="V152" i="3"/>
  <c r="W152" i="3"/>
  <c r="V149" i="3"/>
  <c r="W149" i="3"/>
  <c r="K149" i="3"/>
  <c r="V146" i="3"/>
  <c r="W146" i="3"/>
  <c r="AA146" i="3"/>
  <c r="AB146" i="3" s="1"/>
  <c r="AD146" i="3" s="1"/>
  <c r="K146" i="3"/>
  <c r="V143" i="3"/>
  <c r="W143" i="3"/>
  <c r="AA143" i="3"/>
  <c r="AB143" i="3" s="1"/>
  <c r="K143" i="3"/>
  <c r="AG143" i="3"/>
  <c r="AA140" i="3"/>
  <c r="AB140" i="3" s="1"/>
  <c r="W140" i="3"/>
  <c r="V140" i="3"/>
  <c r="V137" i="3"/>
  <c r="W137" i="3"/>
  <c r="K137" i="3"/>
  <c r="AA137" i="3"/>
  <c r="AB137" i="3" s="1"/>
  <c r="AD137" i="3" s="1"/>
  <c r="V134" i="3"/>
  <c r="W134" i="3"/>
  <c r="AA134" i="3"/>
  <c r="AB134" i="3" s="1"/>
  <c r="AD134" i="3" s="1"/>
  <c r="K134" i="3"/>
  <c r="V131" i="3"/>
  <c r="W131" i="3"/>
  <c r="AA131" i="3"/>
  <c r="AB131" i="3" s="1"/>
  <c r="K131" i="3"/>
  <c r="AG131" i="3"/>
  <c r="AA128" i="3"/>
  <c r="AB128" i="3" s="1"/>
  <c r="V128" i="3"/>
  <c r="W128" i="3"/>
  <c r="V125" i="3"/>
  <c r="W125" i="3"/>
  <c r="AA125" i="3"/>
  <c r="AB125" i="3" s="1"/>
  <c r="AD125" i="3" s="1"/>
  <c r="K125" i="3"/>
  <c r="AA122" i="3"/>
  <c r="AB122" i="3" s="1"/>
  <c r="V122" i="3"/>
  <c r="W122" i="3"/>
  <c r="K122" i="3"/>
  <c r="AA119" i="3"/>
  <c r="AB119" i="3" s="1"/>
  <c r="AD119" i="3" s="1"/>
  <c r="V119" i="3"/>
  <c r="W119" i="3"/>
  <c r="K119" i="3"/>
  <c r="AA116" i="3"/>
  <c r="AB116" i="3" s="1"/>
  <c r="AD116" i="3" s="1"/>
  <c r="V116" i="3"/>
  <c r="W116" i="3"/>
  <c r="W113" i="3"/>
  <c r="AA113" i="3"/>
  <c r="AB113" i="3" s="1"/>
  <c r="AD113" i="3" s="1"/>
  <c r="V113" i="3"/>
  <c r="K113" i="3"/>
  <c r="W110" i="3"/>
  <c r="AA110" i="3"/>
  <c r="AB110" i="3" s="1"/>
  <c r="V110" i="3"/>
  <c r="K110" i="3"/>
  <c r="AA107" i="3"/>
  <c r="AB107" i="3" s="1"/>
  <c r="V107" i="3"/>
  <c r="W107" i="3"/>
  <c r="K107" i="3"/>
  <c r="V104" i="3"/>
  <c r="W104" i="3"/>
  <c r="AA104" i="3"/>
  <c r="AB104" i="3" s="1"/>
  <c r="AD104" i="3" s="1"/>
  <c r="V101" i="3"/>
  <c r="W101" i="3"/>
  <c r="AA101" i="3"/>
  <c r="AB101" i="3" s="1"/>
  <c r="AD101" i="3" s="1"/>
  <c r="K101" i="3"/>
  <c r="W98" i="3"/>
  <c r="AA98" i="3"/>
  <c r="AB98" i="3" s="1"/>
  <c r="V98" i="3"/>
  <c r="K98" i="3"/>
  <c r="AA95" i="3"/>
  <c r="AB95" i="3" s="1"/>
  <c r="V95" i="3"/>
  <c r="W95" i="3"/>
  <c r="K95" i="3"/>
  <c r="V92" i="3"/>
  <c r="W92" i="3"/>
  <c r="AA92" i="3"/>
  <c r="AB92" i="3" s="1"/>
  <c r="AD92" i="3" s="1"/>
  <c r="V89" i="3"/>
  <c r="W89" i="3"/>
  <c r="AA89" i="3"/>
  <c r="AB89" i="3" s="1"/>
  <c r="AD89" i="3" s="1"/>
  <c r="K89" i="3"/>
  <c r="AA86" i="3"/>
  <c r="AB86" i="3" s="1"/>
  <c r="V86" i="3"/>
  <c r="W86" i="3"/>
  <c r="K86" i="3"/>
  <c r="AA83" i="3"/>
  <c r="AB83" i="3" s="1"/>
  <c r="V83" i="3"/>
  <c r="W83" i="3"/>
  <c r="K83" i="3"/>
  <c r="V80" i="3"/>
  <c r="W80" i="3"/>
  <c r="AA77" i="3"/>
  <c r="AB77" i="3" s="1"/>
  <c r="AD77" i="3" s="1"/>
  <c r="V77" i="3"/>
  <c r="W77" i="3"/>
  <c r="K77" i="3"/>
  <c r="V74" i="3"/>
  <c r="W74" i="3"/>
  <c r="K74" i="3"/>
  <c r="W71" i="3"/>
  <c r="V71" i="3"/>
  <c r="K71" i="3"/>
  <c r="AA68" i="3"/>
  <c r="AB68" i="3" s="1"/>
  <c r="V68" i="3"/>
  <c r="W68" i="3"/>
  <c r="V65" i="3"/>
  <c r="W65" i="3"/>
  <c r="K65" i="3"/>
  <c r="V62" i="3"/>
  <c r="W62" i="3"/>
  <c r="K62" i="3"/>
  <c r="W59" i="3"/>
  <c r="AA59" i="3"/>
  <c r="AB59" i="3" s="1"/>
  <c r="V59" i="3"/>
  <c r="K59" i="3"/>
  <c r="X155" i="3"/>
  <c r="P155" i="3" s="1"/>
  <c r="N155" i="3"/>
  <c r="O155" i="3" s="1"/>
  <c r="AG155" i="3"/>
  <c r="S155" i="3"/>
  <c r="T155" i="3"/>
  <c r="AA127" i="3"/>
  <c r="AB127" i="3" s="1"/>
  <c r="AD127" i="3" s="1"/>
  <c r="AC127" i="3"/>
  <c r="S127" i="3"/>
  <c r="T127" i="3"/>
  <c r="N172" i="3"/>
  <c r="O172" i="3" s="1"/>
  <c r="AG162" i="3"/>
  <c r="AA115" i="3"/>
  <c r="AB115" i="3" s="1"/>
  <c r="AD115" i="3" s="1"/>
  <c r="AC115" i="3"/>
  <c r="T115" i="3"/>
  <c r="AF115" i="3"/>
  <c r="U149" i="3"/>
  <c r="N149" i="3"/>
  <c r="O149" i="3" s="1"/>
  <c r="S149" i="3" s="1"/>
  <c r="U140" i="3"/>
  <c r="X140" i="3"/>
  <c r="P140" i="3" s="1"/>
  <c r="U128" i="3"/>
  <c r="X128" i="3"/>
  <c r="P128" i="3" s="1"/>
  <c r="U101" i="3"/>
  <c r="N101" i="3"/>
  <c r="O101" i="3" s="1"/>
  <c r="U98" i="3"/>
  <c r="U95" i="3"/>
  <c r="U92" i="3"/>
  <c r="X92" i="3"/>
  <c r="P92" i="3" s="1"/>
  <c r="N92" i="3"/>
  <c r="O92" i="3" s="1"/>
  <c r="U89" i="3"/>
  <c r="AG89" i="3" s="1"/>
  <c r="U86" i="3"/>
  <c r="X86" i="3"/>
  <c r="P86" i="3" s="1"/>
  <c r="U83" i="3"/>
  <c r="U80" i="3"/>
  <c r="U77" i="3"/>
  <c r="N77" i="3"/>
  <c r="O77" i="3" s="1"/>
  <c r="U74" i="3"/>
  <c r="N74" i="3"/>
  <c r="O74" i="3" s="1"/>
  <c r="S172" i="3"/>
  <c r="N158" i="3"/>
  <c r="O158" i="3" s="1"/>
  <c r="N150" i="3"/>
  <c r="O150" i="3" s="1"/>
  <c r="S150" i="3" s="1"/>
  <c r="AA67" i="3"/>
  <c r="AB67" i="3" s="1"/>
  <c r="AD67" i="3" s="1"/>
  <c r="AC67" i="3"/>
  <c r="T67" i="3"/>
  <c r="AE173" i="3"/>
  <c r="AE170" i="3"/>
  <c r="AE167" i="3"/>
  <c r="AE164" i="3"/>
  <c r="AE161" i="3"/>
  <c r="AE158" i="3"/>
  <c r="AE152" i="3"/>
  <c r="AE146" i="3"/>
  <c r="AE143" i="3"/>
  <c r="AE140" i="3"/>
  <c r="AE137" i="3"/>
  <c r="AE134" i="3"/>
  <c r="AE131" i="3"/>
  <c r="AE128" i="3"/>
  <c r="AE125" i="3"/>
  <c r="AE122" i="3"/>
  <c r="AE119" i="3"/>
  <c r="AE113" i="3"/>
  <c r="AE110" i="3"/>
  <c r="AE107" i="3"/>
  <c r="AE104" i="3"/>
  <c r="AE101" i="3"/>
  <c r="AE98" i="3"/>
  <c r="AE92" i="3"/>
  <c r="AE89" i="3"/>
  <c r="AE86" i="3"/>
  <c r="K164" i="3"/>
  <c r="AF171" i="3"/>
  <c r="N168" i="3"/>
  <c r="O168" i="3" s="1"/>
  <c r="N154" i="3"/>
  <c r="O154" i="3" s="1"/>
  <c r="AA149" i="3"/>
  <c r="AB149" i="3" s="1"/>
  <c r="AD149" i="3" s="1"/>
  <c r="AA103" i="3"/>
  <c r="AB103" i="3" s="1"/>
  <c r="AD103" i="3" s="1"/>
  <c r="AC103" i="3"/>
  <c r="T103" i="3"/>
  <c r="V174" i="3"/>
  <c r="W174" i="3"/>
  <c r="AA174" i="3"/>
  <c r="AB174" i="3" s="1"/>
  <c r="K174" i="3"/>
  <c r="AA171" i="3"/>
  <c r="AB171" i="3" s="1"/>
  <c r="AD171" i="3" s="1"/>
  <c r="K171" i="3"/>
  <c r="V171" i="3"/>
  <c r="AA168" i="3"/>
  <c r="AB168" i="3" s="1"/>
  <c r="AD168" i="3" s="1"/>
  <c r="K168" i="3"/>
  <c r="V168" i="3"/>
  <c r="W168" i="3"/>
  <c r="K165" i="3"/>
  <c r="V165" i="3"/>
  <c r="W165" i="3"/>
  <c r="AA165" i="3"/>
  <c r="AB165" i="3" s="1"/>
  <c r="V162" i="3"/>
  <c r="W162" i="3"/>
  <c r="AA162" i="3"/>
  <c r="AB162" i="3" s="1"/>
  <c r="K162" i="3"/>
  <c r="AA159" i="3"/>
  <c r="AB159" i="3" s="1"/>
  <c r="AD159" i="3" s="1"/>
  <c r="K159" i="3"/>
  <c r="V159" i="3"/>
  <c r="AA156" i="3"/>
  <c r="AB156" i="3" s="1"/>
  <c r="K156" i="3"/>
  <c r="V156" i="3"/>
  <c r="W156" i="3"/>
  <c r="K153" i="3"/>
  <c r="AA153" i="3"/>
  <c r="AB153" i="3" s="1"/>
  <c r="AD153" i="3" s="1"/>
  <c r="V153" i="3"/>
  <c r="W150" i="3"/>
  <c r="AA150" i="3"/>
  <c r="AB150" i="3" s="1"/>
  <c r="AD150" i="3" s="1"/>
  <c r="V150" i="3"/>
  <c r="K150" i="3"/>
  <c r="W147" i="3"/>
  <c r="AA147" i="3"/>
  <c r="AB147" i="3" s="1"/>
  <c r="AG147" i="3"/>
  <c r="K147" i="3"/>
  <c r="V147" i="3"/>
  <c r="AA144" i="3"/>
  <c r="AB144" i="3" s="1"/>
  <c r="W144" i="3"/>
  <c r="K144" i="3"/>
  <c r="V144" i="3"/>
  <c r="V141" i="3"/>
  <c r="W141" i="3"/>
  <c r="K141" i="3"/>
  <c r="AA141" i="3"/>
  <c r="AB141" i="3" s="1"/>
  <c r="AD141" i="3" s="1"/>
  <c r="V138" i="3"/>
  <c r="W138" i="3"/>
  <c r="AA138" i="3"/>
  <c r="AB138" i="3" s="1"/>
  <c r="AD138" i="3" s="1"/>
  <c r="K138" i="3"/>
  <c r="V135" i="3"/>
  <c r="W135" i="3"/>
  <c r="AA135" i="3"/>
  <c r="AB135" i="3" s="1"/>
  <c r="AG135" i="3"/>
  <c r="K135" i="3"/>
  <c r="AA132" i="3"/>
  <c r="AB132" i="3" s="1"/>
  <c r="V132" i="3"/>
  <c r="W132" i="3"/>
  <c r="K132" i="3"/>
  <c r="V129" i="3"/>
  <c r="W129" i="3"/>
  <c r="AA129" i="3"/>
  <c r="AB129" i="3" s="1"/>
  <c r="AD129" i="3" s="1"/>
  <c r="K129" i="3"/>
  <c r="V126" i="3"/>
  <c r="W126" i="3"/>
  <c r="AA126" i="3"/>
  <c r="AB126" i="3" s="1"/>
  <c r="AD126" i="3" s="1"/>
  <c r="K126" i="3"/>
  <c r="AA123" i="3"/>
  <c r="AB123" i="3" s="1"/>
  <c r="V123" i="3"/>
  <c r="W123" i="3"/>
  <c r="K123" i="3"/>
  <c r="AA120" i="3"/>
  <c r="AB120" i="3" s="1"/>
  <c r="AD120" i="3" s="1"/>
  <c r="V120" i="3"/>
  <c r="W120" i="3"/>
  <c r="K120" i="3"/>
  <c r="W117" i="3"/>
  <c r="AA117" i="3"/>
  <c r="AB117" i="3" s="1"/>
  <c r="V117" i="3"/>
  <c r="K117" i="3"/>
  <c r="W114" i="3"/>
  <c r="AA114" i="3"/>
  <c r="AB114" i="3" s="1"/>
  <c r="V114" i="3"/>
  <c r="K114" i="3"/>
  <c r="AA111" i="3"/>
  <c r="AB111" i="3" s="1"/>
  <c r="V111" i="3"/>
  <c r="W111" i="3"/>
  <c r="K111" i="3"/>
  <c r="V108" i="3"/>
  <c r="AA108" i="3"/>
  <c r="AB108" i="3" s="1"/>
  <c r="AD108" i="3" s="1"/>
  <c r="W108" i="3"/>
  <c r="K108" i="3"/>
  <c r="W105" i="3"/>
  <c r="AA105" i="3"/>
  <c r="AB105" i="3" s="1"/>
  <c r="AD105" i="3" s="1"/>
  <c r="V105" i="3"/>
  <c r="K105" i="3"/>
  <c r="W102" i="3"/>
  <c r="AA102" i="3"/>
  <c r="AB102" i="3" s="1"/>
  <c r="V102" i="3"/>
  <c r="K102" i="3"/>
  <c r="AA99" i="3"/>
  <c r="AB99" i="3" s="1"/>
  <c r="V99" i="3"/>
  <c r="W99" i="3"/>
  <c r="K99" i="3"/>
  <c r="V96" i="3"/>
  <c r="W96" i="3"/>
  <c r="AA96" i="3"/>
  <c r="AB96" i="3" s="1"/>
  <c r="AD96" i="3" s="1"/>
  <c r="K96" i="3"/>
  <c r="V93" i="3"/>
  <c r="W93" i="3"/>
  <c r="AA93" i="3"/>
  <c r="AB93" i="3" s="1"/>
  <c r="AD93" i="3" s="1"/>
  <c r="K93" i="3"/>
  <c r="W90" i="3"/>
  <c r="AA90" i="3"/>
  <c r="AB90" i="3" s="1"/>
  <c r="V90" i="3"/>
  <c r="K90" i="3"/>
  <c r="V87" i="3"/>
  <c r="W87" i="3"/>
  <c r="AA87" i="3"/>
  <c r="AB87" i="3" s="1"/>
  <c r="K87" i="3"/>
  <c r="AA84" i="3"/>
  <c r="AB84" i="3" s="1"/>
  <c r="AD84" i="3" s="1"/>
  <c r="V84" i="3"/>
  <c r="W84" i="3"/>
  <c r="K84" i="3"/>
  <c r="AA81" i="3"/>
  <c r="AB81" i="3" s="1"/>
  <c r="AD81" i="3" s="1"/>
  <c r="V81" i="3"/>
  <c r="W81" i="3"/>
  <c r="K81" i="3"/>
  <c r="K152" i="3"/>
  <c r="W171" i="3"/>
  <c r="AF164" i="3"/>
  <c r="AF153" i="3"/>
  <c r="T141" i="3"/>
  <c r="AG141" i="3"/>
  <c r="X141" i="3"/>
  <c r="P141" i="3" s="1"/>
  <c r="N141" i="3"/>
  <c r="O141" i="3" s="1"/>
  <c r="AF173" i="3"/>
  <c r="AA43" i="3"/>
  <c r="AB43" i="3" s="1"/>
  <c r="AD43" i="3" s="1"/>
  <c r="AC43" i="3"/>
  <c r="T43" i="3"/>
  <c r="K140" i="3"/>
  <c r="X171" i="3"/>
  <c r="P171" i="3" s="1"/>
  <c r="AF167" i="3"/>
  <c r="N164" i="3"/>
  <c r="O164" i="3" s="1"/>
  <c r="S164" i="3" s="1"/>
  <c r="W153" i="3"/>
  <c r="AA79" i="3"/>
  <c r="AB79" i="3" s="1"/>
  <c r="AD79" i="3" s="1"/>
  <c r="T79" i="3"/>
  <c r="AC79" i="3"/>
  <c r="N159" i="3"/>
  <c r="O159" i="3" s="1"/>
  <c r="U159" i="3"/>
  <c r="U144" i="3"/>
  <c r="X144" i="3"/>
  <c r="P144" i="3" s="1"/>
  <c r="U132" i="3"/>
  <c r="X132" i="3"/>
  <c r="P132" i="3" s="1"/>
  <c r="U123" i="3"/>
  <c r="AG123" i="3" s="1"/>
  <c r="N123" i="3"/>
  <c r="O123" i="3" s="1"/>
  <c r="U105" i="3"/>
  <c r="N105" i="3"/>
  <c r="O105" i="3" s="1"/>
  <c r="U93" i="3"/>
  <c r="N93" i="3"/>
  <c r="O93" i="3" s="1"/>
  <c r="U84" i="3"/>
  <c r="N84" i="3"/>
  <c r="O84" i="3" s="1"/>
  <c r="K128" i="3"/>
  <c r="W167" i="3"/>
  <c r="AF160" i="3"/>
  <c r="N153" i="3"/>
  <c r="O153" i="3" s="1"/>
  <c r="AA55" i="3"/>
  <c r="AB55" i="3" s="1"/>
  <c r="AD55" i="3" s="1"/>
  <c r="T55" i="3"/>
  <c r="AC55" i="3"/>
  <c r="AF55" i="3"/>
  <c r="AE174" i="3"/>
  <c r="AE171" i="3"/>
  <c r="AE165" i="3"/>
  <c r="AE162" i="3"/>
  <c r="AE156" i="3"/>
  <c r="AE150" i="3"/>
  <c r="AE147" i="3"/>
  <c r="AE141" i="3"/>
  <c r="AE138" i="3"/>
  <c r="AE135" i="3"/>
  <c r="AE129" i="3"/>
  <c r="AE120" i="3"/>
  <c r="AE117" i="3"/>
  <c r="AE111" i="3"/>
  <c r="AE102" i="3"/>
  <c r="AE99" i="3"/>
  <c r="AE96" i="3"/>
  <c r="AE93" i="3"/>
  <c r="AE87" i="3"/>
  <c r="AE84" i="3"/>
  <c r="AE81" i="3"/>
  <c r="K116" i="3"/>
  <c r="AG174" i="3"/>
  <c r="X167" i="3"/>
  <c r="P167" i="3" s="1"/>
  <c r="N160" i="3"/>
  <c r="O160" i="3" s="1"/>
  <c r="AF129" i="3"/>
  <c r="N120" i="3"/>
  <c r="O120" i="3" s="1"/>
  <c r="AA91" i="3"/>
  <c r="AB91" i="3" s="1"/>
  <c r="AD91" i="3" s="1"/>
  <c r="AC91" i="3"/>
  <c r="S91" i="3"/>
  <c r="T91" i="3"/>
  <c r="AA172" i="3"/>
  <c r="AB172" i="3" s="1"/>
  <c r="AD172" i="3" s="1"/>
  <c r="V172" i="3"/>
  <c r="K172" i="3"/>
  <c r="W172" i="3"/>
  <c r="V169" i="3"/>
  <c r="K169" i="3"/>
  <c r="W169" i="3"/>
  <c r="AA169" i="3"/>
  <c r="AB169" i="3" s="1"/>
  <c r="V166" i="3"/>
  <c r="K166" i="3"/>
  <c r="W166" i="3"/>
  <c r="AA166" i="3"/>
  <c r="AB166" i="3" s="1"/>
  <c r="V163" i="3"/>
  <c r="K163" i="3"/>
  <c r="AA160" i="3"/>
  <c r="AB160" i="3" s="1"/>
  <c r="AD160" i="3" s="1"/>
  <c r="V160" i="3"/>
  <c r="K160" i="3"/>
  <c r="W160" i="3"/>
  <c r="V157" i="3"/>
  <c r="W157" i="3"/>
  <c r="K157" i="3"/>
  <c r="AA157" i="3"/>
  <c r="AB157" i="3" s="1"/>
  <c r="AA154" i="3"/>
  <c r="AB154" i="3" s="1"/>
  <c r="K154" i="3"/>
  <c r="V154" i="3"/>
  <c r="W154" i="3"/>
  <c r="W151" i="3"/>
  <c r="V151" i="3"/>
  <c r="K151" i="3"/>
  <c r="AA148" i="3"/>
  <c r="AB148" i="3" s="1"/>
  <c r="V148" i="3"/>
  <c r="W148" i="3"/>
  <c r="K148" i="3"/>
  <c r="W145" i="3"/>
  <c r="V145" i="3"/>
  <c r="K145" i="3"/>
  <c r="AA145" i="3"/>
  <c r="AB145" i="3" s="1"/>
  <c r="AD145" i="3" s="1"/>
  <c r="V142" i="3"/>
  <c r="W142" i="3"/>
  <c r="AA142" i="3"/>
  <c r="AB142" i="3" s="1"/>
  <c r="AD142" i="3" s="1"/>
  <c r="K142" i="3"/>
  <c r="V139" i="3"/>
  <c r="W139" i="3"/>
  <c r="AG139" i="3"/>
  <c r="K139" i="3"/>
  <c r="AA136" i="3"/>
  <c r="AB136" i="3" s="1"/>
  <c r="V136" i="3"/>
  <c r="W136" i="3"/>
  <c r="K136" i="3"/>
  <c r="V133" i="3"/>
  <c r="W133" i="3"/>
  <c r="K133" i="3"/>
  <c r="AA133" i="3"/>
  <c r="AB133" i="3" s="1"/>
  <c r="AD133" i="3" s="1"/>
  <c r="V130" i="3"/>
  <c r="W130" i="3"/>
  <c r="AA130" i="3"/>
  <c r="AB130" i="3" s="1"/>
  <c r="AD130" i="3" s="1"/>
  <c r="K130" i="3"/>
  <c r="V127" i="3"/>
  <c r="W127" i="3"/>
  <c r="AG127" i="3"/>
  <c r="K127" i="3"/>
  <c r="AA124" i="3"/>
  <c r="AB124" i="3" s="1"/>
  <c r="V124" i="3"/>
  <c r="W124" i="3"/>
  <c r="K124" i="3"/>
  <c r="AA121" i="3"/>
  <c r="AB121" i="3" s="1"/>
  <c r="V121" i="3"/>
  <c r="W121" i="3"/>
  <c r="K121" i="3"/>
  <c r="AA118" i="3"/>
  <c r="AB118" i="3" s="1"/>
  <c r="V118" i="3"/>
  <c r="W118" i="3"/>
  <c r="K118" i="3"/>
  <c r="V115" i="3"/>
  <c r="W115" i="3"/>
  <c r="K115" i="3"/>
  <c r="AA112" i="3"/>
  <c r="AB112" i="3" s="1"/>
  <c r="AD112" i="3" s="1"/>
  <c r="V112" i="3"/>
  <c r="W112" i="3"/>
  <c r="K112" i="3"/>
  <c r="W109" i="3"/>
  <c r="AA109" i="3"/>
  <c r="AB109" i="3" s="1"/>
  <c r="AD109" i="3" s="1"/>
  <c r="V109" i="3"/>
  <c r="K109" i="3"/>
  <c r="W106" i="3"/>
  <c r="AA106" i="3"/>
  <c r="AB106" i="3" s="1"/>
  <c r="V106" i="3"/>
  <c r="K106" i="3"/>
  <c r="V103" i="3"/>
  <c r="W103" i="3"/>
  <c r="K103" i="3"/>
  <c r="V100" i="3"/>
  <c r="W100" i="3"/>
  <c r="AA100" i="3"/>
  <c r="AB100" i="3" s="1"/>
  <c r="AD100" i="3" s="1"/>
  <c r="K100" i="3"/>
  <c r="V97" i="3"/>
  <c r="W97" i="3"/>
  <c r="AA97" i="3"/>
  <c r="AB97" i="3" s="1"/>
  <c r="AD97" i="3" s="1"/>
  <c r="K97" i="3"/>
  <c r="W94" i="3"/>
  <c r="AA94" i="3"/>
  <c r="AB94" i="3" s="1"/>
  <c r="V94" i="3"/>
  <c r="K94" i="3"/>
  <c r="V91" i="3"/>
  <c r="W91" i="3"/>
  <c r="K91" i="3"/>
  <c r="AA88" i="3"/>
  <c r="AB88" i="3" s="1"/>
  <c r="AD88" i="3" s="1"/>
  <c r="V88" i="3"/>
  <c r="W88" i="3"/>
  <c r="K88" i="3"/>
  <c r="AA85" i="3"/>
  <c r="AB85" i="3" s="1"/>
  <c r="AD85" i="3" s="1"/>
  <c r="V85" i="3"/>
  <c r="W85" i="3"/>
  <c r="K85" i="3"/>
  <c r="AA82" i="3"/>
  <c r="AB82" i="3" s="1"/>
  <c r="AD82" i="3" s="1"/>
  <c r="W82" i="3"/>
  <c r="V82" i="3"/>
  <c r="K82" i="3"/>
  <c r="W79" i="3"/>
  <c r="V79" i="3"/>
  <c r="K79" i="3"/>
  <c r="AA76" i="3"/>
  <c r="AB76" i="3" s="1"/>
  <c r="V76" i="3"/>
  <c r="W76" i="3"/>
  <c r="K76" i="3"/>
  <c r="V73" i="3"/>
  <c r="W73" i="3"/>
  <c r="AA73" i="3"/>
  <c r="AB73" i="3" s="1"/>
  <c r="AD73" i="3" s="1"/>
  <c r="K73" i="3"/>
  <c r="V70" i="3"/>
  <c r="W70" i="3"/>
  <c r="AA70" i="3"/>
  <c r="AB70" i="3" s="1"/>
  <c r="AD70" i="3" s="1"/>
  <c r="K70" i="3"/>
  <c r="W67" i="3"/>
  <c r="V67" i="3"/>
  <c r="K67" i="3"/>
  <c r="AA64" i="3"/>
  <c r="AB64" i="3" s="1"/>
  <c r="V64" i="3"/>
  <c r="W64" i="3"/>
  <c r="K64" i="3"/>
  <c r="V61" i="3"/>
  <c r="W61" i="3"/>
  <c r="AA61" i="3"/>
  <c r="AB61" i="3" s="1"/>
  <c r="AD61" i="3" s="1"/>
  <c r="K61" i="3"/>
  <c r="V58" i="3"/>
  <c r="W58" i="3"/>
  <c r="AA58" i="3"/>
  <c r="AB58" i="3" s="1"/>
  <c r="AD58" i="3" s="1"/>
  <c r="K58" i="3"/>
  <c r="K104" i="3"/>
  <c r="W163" i="3"/>
  <c r="S160" i="3"/>
  <c r="X156" i="3"/>
  <c r="P156" i="3" s="1"/>
  <c r="X152" i="3"/>
  <c r="P152" i="3" s="1"/>
  <c r="S148" i="3"/>
  <c r="U71" i="3"/>
  <c r="U68" i="3"/>
  <c r="U65" i="3"/>
  <c r="U62" i="3"/>
  <c r="X62" i="3"/>
  <c r="P62" i="3" s="1"/>
  <c r="N62" i="3"/>
  <c r="O62" i="3" s="1"/>
  <c r="U59" i="3"/>
  <c r="AG59" i="3" s="1"/>
  <c r="U56" i="3"/>
  <c r="N56" i="3"/>
  <c r="O56" i="3" s="1"/>
  <c r="N50" i="3"/>
  <c r="O50" i="3" s="1"/>
  <c r="U50" i="3"/>
  <c r="U47" i="3"/>
  <c r="AG47" i="3" s="1"/>
  <c r="N47" i="3"/>
  <c r="O47" i="3" s="1"/>
  <c r="U35" i="3"/>
  <c r="X35" i="3"/>
  <c r="P35" i="3" s="1"/>
  <c r="U23" i="3"/>
  <c r="X23" i="3"/>
  <c r="P23" i="3" s="1"/>
  <c r="U11" i="3"/>
  <c r="X11" i="3"/>
  <c r="P11" i="3" s="1"/>
  <c r="AG158" i="3"/>
  <c r="X158" i="3"/>
  <c r="P158" i="3" s="1"/>
  <c r="AF150" i="3"/>
  <c r="AF149" i="3"/>
  <c r="AF146" i="3"/>
  <c r="X143" i="3"/>
  <c r="P143" i="3" s="1"/>
  <c r="X135" i="3"/>
  <c r="P135" i="3" s="1"/>
  <c r="N132" i="3"/>
  <c r="O132" i="3" s="1"/>
  <c r="AE44" i="3"/>
  <c r="X172" i="3"/>
  <c r="P172" i="3" s="1"/>
  <c r="AG171" i="3"/>
  <c r="X168" i="3"/>
  <c r="P168" i="3" s="1"/>
  <c r="AG167" i="3"/>
  <c r="X164" i="3"/>
  <c r="P164" i="3" s="1"/>
  <c r="AG163" i="3"/>
  <c r="X160" i="3"/>
  <c r="P160" i="3" s="1"/>
  <c r="AG159" i="3"/>
  <c r="S153" i="3"/>
  <c r="AF137" i="3"/>
  <c r="AF119" i="3"/>
  <c r="N116" i="3"/>
  <c r="O116" i="3" s="1"/>
  <c r="Y80" i="3"/>
  <c r="AC80" i="3" s="1"/>
  <c r="W78" i="3"/>
  <c r="AA78" i="3"/>
  <c r="AB78" i="3" s="1"/>
  <c r="AD78" i="3" s="1"/>
  <c r="V78" i="3"/>
  <c r="Y77" i="3"/>
  <c r="AC77" i="3" s="1"/>
  <c r="W75" i="3"/>
  <c r="AA75" i="3"/>
  <c r="AB75" i="3" s="1"/>
  <c r="V75" i="3"/>
  <c r="Y74" i="3"/>
  <c r="AC74" i="3" s="1"/>
  <c r="AA72" i="3"/>
  <c r="AB72" i="3" s="1"/>
  <c r="V72" i="3"/>
  <c r="W72" i="3"/>
  <c r="Y71" i="3"/>
  <c r="AC71" i="3" s="1"/>
  <c r="V69" i="3"/>
  <c r="W69" i="3"/>
  <c r="AA69" i="3"/>
  <c r="AB69" i="3" s="1"/>
  <c r="AD69" i="3" s="1"/>
  <c r="Y68" i="3"/>
  <c r="AC68" i="3" s="1"/>
  <c r="V66" i="3"/>
  <c r="W66" i="3"/>
  <c r="AA66" i="3"/>
  <c r="AB66" i="3" s="1"/>
  <c r="AD66" i="3" s="1"/>
  <c r="Y65" i="3"/>
  <c r="AC65" i="3" s="1"/>
  <c r="W63" i="3"/>
  <c r="AA63" i="3"/>
  <c r="AB63" i="3" s="1"/>
  <c r="V63" i="3"/>
  <c r="Y62" i="3"/>
  <c r="AC62" i="3" s="1"/>
  <c r="AA60" i="3"/>
  <c r="AB60" i="3" s="1"/>
  <c r="V60" i="3"/>
  <c r="W60" i="3"/>
  <c r="Y59" i="3"/>
  <c r="AC59" i="3" s="1"/>
  <c r="AA57" i="3"/>
  <c r="AB57" i="3" s="1"/>
  <c r="AD57" i="3" s="1"/>
  <c r="W57" i="3"/>
  <c r="V57" i="3"/>
  <c r="Y56" i="3"/>
  <c r="AC56" i="3" s="1"/>
  <c r="AA54" i="3"/>
  <c r="AB54" i="3" s="1"/>
  <c r="AD54" i="3" s="1"/>
  <c r="V54" i="3"/>
  <c r="W54" i="3"/>
  <c r="Y53" i="3"/>
  <c r="AC53" i="3" s="1"/>
  <c r="AA51" i="3"/>
  <c r="AB51" i="3" s="1"/>
  <c r="V51" i="3"/>
  <c r="W51" i="3"/>
  <c r="Y50" i="3"/>
  <c r="AC50" i="3" s="1"/>
  <c r="V48" i="3"/>
  <c r="W48" i="3"/>
  <c r="AA48" i="3"/>
  <c r="AB48" i="3" s="1"/>
  <c r="Y47" i="3"/>
  <c r="AC47" i="3" s="1"/>
  <c r="AA45" i="3"/>
  <c r="AB45" i="3" s="1"/>
  <c r="V45" i="3"/>
  <c r="W45" i="3"/>
  <c r="Y44" i="3"/>
  <c r="AC44" i="3" s="1"/>
  <c r="W42" i="3"/>
  <c r="AA42" i="3"/>
  <c r="AB42" i="3" s="1"/>
  <c r="V42" i="3"/>
  <c r="Y41" i="3"/>
  <c r="AC41" i="3" s="1"/>
  <c r="AA39" i="3"/>
  <c r="AB39" i="3" s="1"/>
  <c r="W39" i="3"/>
  <c r="V39" i="3"/>
  <c r="Y38" i="3"/>
  <c r="AC38" i="3" s="1"/>
  <c r="W36" i="3"/>
  <c r="V36" i="3"/>
  <c r="AA36" i="3"/>
  <c r="AB36" i="3" s="1"/>
  <c r="AD36" i="3" s="1"/>
  <c r="Y35" i="3"/>
  <c r="AC35" i="3" s="1"/>
  <c r="V33" i="3"/>
  <c r="W33" i="3"/>
  <c r="AA33" i="3"/>
  <c r="AB33" i="3" s="1"/>
  <c r="AD33" i="3" s="1"/>
  <c r="Y32" i="3"/>
  <c r="AC32" i="3" s="1"/>
  <c r="V30" i="3"/>
  <c r="W30" i="3"/>
  <c r="AA30" i="3"/>
  <c r="AB30" i="3" s="1"/>
  <c r="AD30" i="3" s="1"/>
  <c r="AG30" i="3"/>
  <c r="Y29" i="3"/>
  <c r="AC29" i="3" s="1"/>
  <c r="AA27" i="3"/>
  <c r="AB27" i="3" s="1"/>
  <c r="V27" i="3"/>
  <c r="W27" i="3"/>
  <c r="Y26" i="3"/>
  <c r="AC26" i="3" s="1"/>
  <c r="V24" i="3"/>
  <c r="W24" i="3"/>
  <c r="AA24" i="3"/>
  <c r="AB24" i="3" s="1"/>
  <c r="AD24" i="3" s="1"/>
  <c r="Y23" i="3"/>
  <c r="AC23" i="3" s="1"/>
  <c r="V21" i="3"/>
  <c r="W21" i="3"/>
  <c r="AA21" i="3"/>
  <c r="AB21" i="3" s="1"/>
  <c r="AD21" i="3" s="1"/>
  <c r="Y20" i="3"/>
  <c r="AC20" i="3" s="1"/>
  <c r="V18" i="3"/>
  <c r="W18" i="3"/>
  <c r="AA18" i="3"/>
  <c r="AB18" i="3" s="1"/>
  <c r="AD18" i="3" s="1"/>
  <c r="AG18" i="3"/>
  <c r="Y17" i="3"/>
  <c r="AC17" i="3" s="1"/>
  <c r="AA15" i="3"/>
  <c r="AB15" i="3" s="1"/>
  <c r="AD15" i="3" s="1"/>
  <c r="V15" i="3"/>
  <c r="W15" i="3"/>
  <c r="Y14" i="3"/>
  <c r="AC14" i="3" s="1"/>
  <c r="V12" i="3"/>
  <c r="W12" i="3"/>
  <c r="AA12" i="3"/>
  <c r="AB12" i="3" s="1"/>
  <c r="AD12" i="3" s="1"/>
  <c r="Y11" i="3"/>
  <c r="AC11" i="3" s="1"/>
  <c r="N173" i="3"/>
  <c r="O173" i="3" s="1"/>
  <c r="S173" i="3" s="1"/>
  <c r="T171" i="3"/>
  <c r="N169" i="3"/>
  <c r="O169" i="3" s="1"/>
  <c r="T167" i="3"/>
  <c r="N165" i="3"/>
  <c r="O165" i="3" s="1"/>
  <c r="S165" i="3" s="1"/>
  <c r="N161" i="3"/>
  <c r="O161" i="3" s="1"/>
  <c r="S161" i="3" s="1"/>
  <c r="T159" i="3"/>
  <c r="T156" i="3"/>
  <c r="X148" i="3"/>
  <c r="P148" i="3" s="1"/>
  <c r="AF134" i="3"/>
  <c r="X94" i="3"/>
  <c r="P94" i="3" s="1"/>
  <c r="S159" i="3"/>
  <c r="S156" i="3"/>
  <c r="AG154" i="3"/>
  <c r="X154" i="3"/>
  <c r="P154" i="3" s="1"/>
  <c r="AF142" i="3"/>
  <c r="N140" i="3"/>
  <c r="O140" i="3" s="1"/>
  <c r="S137" i="3"/>
  <c r="AF125" i="3"/>
  <c r="N119" i="3"/>
  <c r="O119" i="3" s="1"/>
  <c r="U66" i="3"/>
  <c r="N66" i="3"/>
  <c r="O66" i="3" s="1"/>
  <c r="N54" i="3"/>
  <c r="O54" i="3" s="1"/>
  <c r="U54" i="3"/>
  <c r="AG54" i="3" s="1"/>
  <c r="U27" i="3"/>
  <c r="X27" i="3"/>
  <c r="P27" i="3" s="1"/>
  <c r="U15" i="3"/>
  <c r="X15" i="3"/>
  <c r="P15" i="3" s="1"/>
  <c r="K75" i="3"/>
  <c r="K63" i="3"/>
  <c r="K51" i="3"/>
  <c r="K39" i="3"/>
  <c r="K27" i="3"/>
  <c r="K15" i="3"/>
  <c r="X173" i="3"/>
  <c r="P173" i="3" s="1"/>
  <c r="AG172" i="3"/>
  <c r="X169" i="3"/>
  <c r="P169" i="3" s="1"/>
  <c r="AG168" i="3"/>
  <c r="X165" i="3"/>
  <c r="P165" i="3" s="1"/>
  <c r="AG164" i="3"/>
  <c r="X161" i="3"/>
  <c r="P161" i="3" s="1"/>
  <c r="AG160" i="3"/>
  <c r="AG157" i="3"/>
  <c r="X157" i="3"/>
  <c r="P157" i="3" s="1"/>
  <c r="T146" i="3"/>
  <c r="AG146" i="3"/>
  <c r="X146" i="3"/>
  <c r="P146" i="3" s="1"/>
  <c r="N146" i="3"/>
  <c r="O146" i="3" s="1"/>
  <c r="N144" i="3"/>
  <c r="O144" i="3" s="1"/>
  <c r="N122" i="3"/>
  <c r="O122" i="3" s="1"/>
  <c r="AE66" i="3"/>
  <c r="AE60" i="3"/>
  <c r="AE54" i="3"/>
  <c r="AE51" i="3"/>
  <c r="AE42" i="3"/>
  <c r="AE39" i="3"/>
  <c r="AE36" i="3"/>
  <c r="AE30" i="3"/>
  <c r="AE27" i="3"/>
  <c r="AE24" i="3"/>
  <c r="AE18" i="3"/>
  <c r="AE15" i="3"/>
  <c r="N174" i="3"/>
  <c r="O174" i="3" s="1"/>
  <c r="T172" i="3"/>
  <c r="N170" i="3"/>
  <c r="O170" i="3" s="1"/>
  <c r="T168" i="3"/>
  <c r="N166" i="3"/>
  <c r="O166" i="3" s="1"/>
  <c r="T164" i="3"/>
  <c r="N162" i="3"/>
  <c r="O162" i="3" s="1"/>
  <c r="T160" i="3"/>
  <c r="T153" i="3"/>
  <c r="AG153" i="3"/>
  <c r="X153" i="3"/>
  <c r="P153" i="3" s="1"/>
  <c r="N152" i="3"/>
  <c r="O152" i="3" s="1"/>
  <c r="AG152" i="3"/>
  <c r="T148" i="3"/>
  <c r="X131" i="3"/>
  <c r="P131" i="3" s="1"/>
  <c r="N128" i="3"/>
  <c r="O128" i="3" s="1"/>
  <c r="AF104" i="3"/>
  <c r="V55" i="3"/>
  <c r="W55" i="3"/>
  <c r="V52" i="3"/>
  <c r="W52" i="3"/>
  <c r="AA52" i="3"/>
  <c r="AB52" i="3" s="1"/>
  <c r="AD52" i="3" s="1"/>
  <c r="AA49" i="3"/>
  <c r="AB49" i="3" s="1"/>
  <c r="AD49" i="3" s="1"/>
  <c r="V49" i="3"/>
  <c r="W49" i="3"/>
  <c r="AA46" i="3"/>
  <c r="AB46" i="3" s="1"/>
  <c r="AD46" i="3" s="1"/>
  <c r="V46" i="3"/>
  <c r="W46" i="3"/>
  <c r="V43" i="3"/>
  <c r="W43" i="3"/>
  <c r="W40" i="3"/>
  <c r="AA40" i="3"/>
  <c r="AB40" i="3" s="1"/>
  <c r="AD40" i="3" s="1"/>
  <c r="V40" i="3"/>
  <c r="W37" i="3"/>
  <c r="AA37" i="3"/>
  <c r="AB37" i="3" s="1"/>
  <c r="AD37" i="3" s="1"/>
  <c r="V37" i="3"/>
  <c r="V34" i="3"/>
  <c r="W34" i="3"/>
  <c r="AA34" i="3"/>
  <c r="AB34" i="3" s="1"/>
  <c r="AD34" i="3" s="1"/>
  <c r="AG34" i="3"/>
  <c r="V31" i="3"/>
  <c r="W31" i="3"/>
  <c r="V28" i="3"/>
  <c r="W28" i="3"/>
  <c r="AA28" i="3"/>
  <c r="AB28" i="3" s="1"/>
  <c r="AD28" i="3" s="1"/>
  <c r="V25" i="3"/>
  <c r="W25" i="3"/>
  <c r="AA25" i="3"/>
  <c r="AB25" i="3" s="1"/>
  <c r="AD25" i="3" s="1"/>
  <c r="V22" i="3"/>
  <c r="W22" i="3"/>
  <c r="AA22" i="3"/>
  <c r="AB22" i="3" s="1"/>
  <c r="AD22" i="3" s="1"/>
  <c r="AG22" i="3"/>
  <c r="AA19" i="3"/>
  <c r="AB19" i="3" s="1"/>
  <c r="V19" i="3"/>
  <c r="W19" i="3"/>
  <c r="V16" i="3"/>
  <c r="W16" i="3"/>
  <c r="AA16" i="3"/>
  <c r="AB16" i="3" s="1"/>
  <c r="AD16" i="3" s="1"/>
  <c r="V13" i="3"/>
  <c r="W13" i="3"/>
  <c r="AA13" i="3"/>
  <c r="AB13" i="3" s="1"/>
  <c r="AD13" i="3" s="1"/>
  <c r="V10" i="3"/>
  <c r="W10" i="3"/>
  <c r="AA10" i="3"/>
  <c r="AB10" i="3" s="1"/>
  <c r="AD10" i="3" s="1"/>
  <c r="AG10" i="3"/>
  <c r="K49" i="3"/>
  <c r="K37" i="3"/>
  <c r="K25" i="3"/>
  <c r="K13" i="3"/>
  <c r="T158" i="3"/>
  <c r="AF145" i="3"/>
  <c r="AF133" i="3"/>
  <c r="K72" i="3"/>
  <c r="K60" i="3"/>
  <c r="K48" i="3"/>
  <c r="K36" i="3"/>
  <c r="K24" i="3"/>
  <c r="K12" i="3"/>
  <c r="X174" i="3"/>
  <c r="P174" i="3" s="1"/>
  <c r="AG173" i="3"/>
  <c r="X170" i="3"/>
  <c r="P170" i="3" s="1"/>
  <c r="AG169" i="3"/>
  <c r="X166" i="3"/>
  <c r="P166" i="3" s="1"/>
  <c r="AG165" i="3"/>
  <c r="X162" i="3"/>
  <c r="P162" i="3" s="1"/>
  <c r="AG161" i="3"/>
  <c r="S158" i="3"/>
  <c r="AG156" i="3"/>
  <c r="X151" i="3"/>
  <c r="P151" i="3" s="1"/>
  <c r="N151" i="3"/>
  <c r="O151" i="3" s="1"/>
  <c r="N148" i="3"/>
  <c r="O148" i="3" s="1"/>
  <c r="AG148" i="3"/>
  <c r="X139" i="3"/>
  <c r="P139" i="3" s="1"/>
  <c r="N136" i="3"/>
  <c r="O136" i="3" s="1"/>
  <c r="AF130" i="3"/>
  <c r="AF97" i="3"/>
  <c r="U58" i="3"/>
  <c r="N58" i="3"/>
  <c r="O58" i="3" s="1"/>
  <c r="U49" i="3"/>
  <c r="N49" i="3"/>
  <c r="O49" i="3" s="1"/>
  <c r="U43" i="3"/>
  <c r="X43" i="3"/>
  <c r="P43" i="3" s="1"/>
  <c r="U31" i="3"/>
  <c r="X31" i="3"/>
  <c r="P31" i="3" s="1"/>
  <c r="U19" i="3"/>
  <c r="X19" i="3"/>
  <c r="P19" i="3" s="1"/>
  <c r="U10" i="3"/>
  <c r="T173" i="3"/>
  <c r="N171" i="3"/>
  <c r="O171" i="3" s="1"/>
  <c r="T169" i="3"/>
  <c r="N167" i="3"/>
  <c r="O167" i="3" s="1"/>
  <c r="T165" i="3"/>
  <c r="N163" i="3"/>
  <c r="O163" i="3" s="1"/>
  <c r="T161" i="3"/>
  <c r="T150" i="3"/>
  <c r="AG150" i="3"/>
  <c r="X150" i="3"/>
  <c r="P150" i="3" s="1"/>
  <c r="T149" i="3"/>
  <c r="AG149" i="3"/>
  <c r="X149" i="3"/>
  <c r="P149" i="3" s="1"/>
  <c r="X147" i="3"/>
  <c r="P147" i="3" s="1"/>
  <c r="AF141" i="3"/>
  <c r="N121" i="3"/>
  <c r="O121" i="3" s="1"/>
  <c r="AF108" i="3"/>
  <c r="AE67" i="3"/>
  <c r="AE64" i="3"/>
  <c r="AE61" i="3"/>
  <c r="AE58" i="3"/>
  <c r="AE55" i="3"/>
  <c r="AE52" i="3"/>
  <c r="AE49" i="3"/>
  <c r="AE46" i="3"/>
  <c r="AE40" i="3"/>
  <c r="AE37" i="3"/>
  <c r="AE34" i="3"/>
  <c r="AE31" i="3"/>
  <c r="AE28" i="3"/>
  <c r="AE22" i="3"/>
  <c r="AE16" i="3"/>
  <c r="AE13" i="3"/>
  <c r="AE10" i="3"/>
  <c r="K46" i="3"/>
  <c r="K34" i="3"/>
  <c r="K22" i="3"/>
  <c r="K10" i="3"/>
  <c r="T154" i="3"/>
  <c r="AF138" i="3"/>
  <c r="X127" i="3"/>
  <c r="P127" i="3" s="1"/>
  <c r="N124" i="3"/>
  <c r="O124" i="3" s="1"/>
  <c r="AF120" i="3"/>
  <c r="T113" i="3"/>
  <c r="AG113" i="3"/>
  <c r="X113" i="3"/>
  <c r="P113" i="3" s="1"/>
  <c r="N113" i="3"/>
  <c r="O113" i="3" s="1"/>
  <c r="S113" i="3" s="1"/>
  <c r="V56" i="3"/>
  <c r="W56" i="3"/>
  <c r="AA56" i="3"/>
  <c r="AB56" i="3" s="1"/>
  <c r="AD56" i="3" s="1"/>
  <c r="AA53" i="3"/>
  <c r="AB53" i="3" s="1"/>
  <c r="AD53" i="3" s="1"/>
  <c r="V53" i="3"/>
  <c r="W53" i="3"/>
  <c r="AA50" i="3"/>
  <c r="AB50" i="3" s="1"/>
  <c r="V50" i="3"/>
  <c r="W50" i="3"/>
  <c r="AA47" i="3"/>
  <c r="AB47" i="3" s="1"/>
  <c r="AD47" i="3" s="1"/>
  <c r="V47" i="3"/>
  <c r="W47" i="3"/>
  <c r="V44" i="3"/>
  <c r="W44" i="3"/>
  <c r="AA44" i="3"/>
  <c r="AB44" i="3" s="1"/>
  <c r="AD44" i="3" s="1"/>
  <c r="W41" i="3"/>
  <c r="AA41" i="3"/>
  <c r="AB41" i="3" s="1"/>
  <c r="AD41" i="3" s="1"/>
  <c r="V41" i="3"/>
  <c r="W38" i="3"/>
  <c r="AA38" i="3"/>
  <c r="AB38" i="3" s="1"/>
  <c r="AD38" i="3" s="1"/>
  <c r="V38" i="3"/>
  <c r="AA35" i="3"/>
  <c r="AB35" i="3" s="1"/>
  <c r="V35" i="3"/>
  <c r="W35" i="3"/>
  <c r="V32" i="3"/>
  <c r="W32" i="3"/>
  <c r="AA32" i="3"/>
  <c r="AB32" i="3" s="1"/>
  <c r="AD32" i="3" s="1"/>
  <c r="V29" i="3"/>
  <c r="W29" i="3"/>
  <c r="V26" i="3"/>
  <c r="W26" i="3"/>
  <c r="AA26" i="3"/>
  <c r="AB26" i="3" s="1"/>
  <c r="AD26" i="3" s="1"/>
  <c r="AG26" i="3"/>
  <c r="AA23" i="3"/>
  <c r="AB23" i="3" s="1"/>
  <c r="V23" i="3"/>
  <c r="W23" i="3"/>
  <c r="V20" i="3"/>
  <c r="W20" i="3"/>
  <c r="V17" i="3"/>
  <c r="W17" i="3"/>
  <c r="AA17" i="3"/>
  <c r="AB17" i="3" s="1"/>
  <c r="AD17" i="3" s="1"/>
  <c r="V14" i="3"/>
  <c r="W14" i="3"/>
  <c r="AA14" i="3"/>
  <c r="AB14" i="3" s="1"/>
  <c r="AD14" i="3" s="1"/>
  <c r="AG14" i="3"/>
  <c r="AA11" i="3"/>
  <c r="AB11" i="3" s="1"/>
  <c r="AD11" i="3" s="1"/>
  <c r="V11" i="3"/>
  <c r="W11" i="3"/>
  <c r="K69" i="3"/>
  <c r="K57" i="3"/>
  <c r="K45" i="3"/>
  <c r="K33" i="3"/>
  <c r="K21" i="3"/>
  <c r="T157" i="3"/>
  <c r="S154" i="3"/>
  <c r="S145" i="3"/>
  <c r="T145" i="3"/>
  <c r="AG145" i="3"/>
  <c r="X145" i="3"/>
  <c r="P145" i="3" s="1"/>
  <c r="N145" i="3"/>
  <c r="O145" i="3" s="1"/>
  <c r="N117" i="3"/>
  <c r="O117" i="3" s="1"/>
  <c r="N137" i="3"/>
  <c r="O137" i="3" s="1"/>
  <c r="N133" i="3"/>
  <c r="O133" i="3" s="1"/>
  <c r="S133" i="3" s="1"/>
  <c r="N129" i="3"/>
  <c r="O129" i="3" s="1"/>
  <c r="S129" i="3" s="1"/>
  <c r="N125" i="3"/>
  <c r="O125" i="3" s="1"/>
  <c r="S125" i="3" s="1"/>
  <c r="X118" i="3"/>
  <c r="P118" i="3" s="1"/>
  <c r="AG118" i="3"/>
  <c r="N115" i="3"/>
  <c r="O115" i="3" s="1"/>
  <c r="AG115" i="3"/>
  <c r="X115" i="3"/>
  <c r="P115" i="3" s="1"/>
  <c r="X114" i="3"/>
  <c r="P114" i="3" s="1"/>
  <c r="N114" i="3"/>
  <c r="O114" i="3" s="1"/>
  <c r="AG114" i="3"/>
  <c r="AG117" i="3"/>
  <c r="X117" i="3"/>
  <c r="P117" i="3" s="1"/>
  <c r="T116" i="3"/>
  <c r="AG116" i="3"/>
  <c r="X116" i="3"/>
  <c r="P116" i="3" s="1"/>
  <c r="X110" i="3"/>
  <c r="P110" i="3" s="1"/>
  <c r="N110" i="3"/>
  <c r="O110" i="3" s="1"/>
  <c r="S110" i="3"/>
  <c r="T110" i="3"/>
  <c r="AG110" i="3"/>
  <c r="AF93" i="3"/>
  <c r="X90" i="3"/>
  <c r="P90" i="3" s="1"/>
  <c r="N87" i="3"/>
  <c r="O87" i="3" s="1"/>
  <c r="X18" i="3"/>
  <c r="P18" i="3" s="1"/>
  <c r="AG144" i="3"/>
  <c r="AG140" i="3"/>
  <c r="X137" i="3"/>
  <c r="P137" i="3" s="1"/>
  <c r="AG136" i="3"/>
  <c r="X133" i="3"/>
  <c r="P133" i="3" s="1"/>
  <c r="AG132" i="3"/>
  <c r="X129" i="3"/>
  <c r="P129" i="3" s="1"/>
  <c r="AG128" i="3"/>
  <c r="X125" i="3"/>
  <c r="P125" i="3" s="1"/>
  <c r="AG124" i="3"/>
  <c r="X123" i="3"/>
  <c r="P123" i="3" s="1"/>
  <c r="AF112" i="3"/>
  <c r="N83" i="3"/>
  <c r="O83" i="3" s="1"/>
  <c r="T144" i="3"/>
  <c r="N142" i="3"/>
  <c r="O142" i="3" s="1"/>
  <c r="T140" i="3"/>
  <c r="N138" i="3"/>
  <c r="O138" i="3" s="1"/>
  <c r="S138" i="3" s="1"/>
  <c r="N134" i="3"/>
  <c r="O134" i="3" s="1"/>
  <c r="S134" i="3" s="1"/>
  <c r="N130" i="3"/>
  <c r="O130" i="3" s="1"/>
  <c r="N126" i="3"/>
  <c r="O126" i="3" s="1"/>
  <c r="S126" i="3" s="1"/>
  <c r="AF96" i="3"/>
  <c r="AF89" i="3"/>
  <c r="AF82" i="3"/>
  <c r="N51" i="3"/>
  <c r="O51" i="3" s="1"/>
  <c r="X122" i="3"/>
  <c r="P122" i="3" s="1"/>
  <c r="AG122" i="3"/>
  <c r="AF113" i="3"/>
  <c r="X106" i="3"/>
  <c r="P106" i="3" s="1"/>
  <c r="N106" i="3"/>
  <c r="O106" i="3" s="1"/>
  <c r="S106" i="3" s="1"/>
  <c r="T106" i="3"/>
  <c r="AG106" i="3"/>
  <c r="N103" i="3"/>
  <c r="O103" i="3" s="1"/>
  <c r="AG103" i="3"/>
  <c r="X103" i="3"/>
  <c r="P103" i="3" s="1"/>
  <c r="N86" i="3"/>
  <c r="O86" i="3" s="1"/>
  <c r="X142" i="3"/>
  <c r="P142" i="3" s="1"/>
  <c r="X138" i="3"/>
  <c r="P138" i="3" s="1"/>
  <c r="AG137" i="3"/>
  <c r="X134" i="3"/>
  <c r="P134" i="3" s="1"/>
  <c r="AG133" i="3"/>
  <c r="X130" i="3"/>
  <c r="P130" i="3" s="1"/>
  <c r="AG129" i="3"/>
  <c r="X126" i="3"/>
  <c r="P126" i="3" s="1"/>
  <c r="AG125" i="3"/>
  <c r="N111" i="3"/>
  <c r="O111" i="3" s="1"/>
  <c r="AG111" i="3"/>
  <c r="X111" i="3"/>
  <c r="P111" i="3" s="1"/>
  <c r="AF92" i="3"/>
  <c r="AF70" i="3"/>
  <c r="N147" i="3"/>
  <c r="O147" i="3" s="1"/>
  <c r="N143" i="3"/>
  <c r="O143" i="3" s="1"/>
  <c r="N139" i="3"/>
  <c r="O139" i="3" s="1"/>
  <c r="S139" i="3" s="1"/>
  <c r="T137" i="3"/>
  <c r="N135" i="3"/>
  <c r="O135" i="3" s="1"/>
  <c r="T133" i="3"/>
  <c r="N131" i="3"/>
  <c r="O131" i="3" s="1"/>
  <c r="T129" i="3"/>
  <c r="N127" i="3"/>
  <c r="O127" i="3" s="1"/>
  <c r="T125" i="3"/>
  <c r="AG121" i="3"/>
  <c r="X121" i="3"/>
  <c r="P121" i="3" s="1"/>
  <c r="AF105" i="3"/>
  <c r="N99" i="3"/>
  <c r="O99" i="3" s="1"/>
  <c r="S99" i="3"/>
  <c r="T99" i="3"/>
  <c r="AG99" i="3"/>
  <c r="X99" i="3"/>
  <c r="P99" i="3" s="1"/>
  <c r="AF88" i="3"/>
  <c r="AF85" i="3"/>
  <c r="AF54" i="3"/>
  <c r="T118" i="3"/>
  <c r="X102" i="3"/>
  <c r="P102" i="3" s="1"/>
  <c r="X85" i="3"/>
  <c r="P85" i="3" s="1"/>
  <c r="N85" i="3"/>
  <c r="O85" i="3" s="1"/>
  <c r="S85" i="3" s="1"/>
  <c r="AG85" i="3"/>
  <c r="T85" i="3"/>
  <c r="AF81" i="3"/>
  <c r="N78" i="3"/>
  <c r="O78" i="3" s="1"/>
  <c r="AG142" i="3"/>
  <c r="AG138" i="3"/>
  <c r="AG134" i="3"/>
  <c r="AG130" i="3"/>
  <c r="AG126" i="3"/>
  <c r="AG120" i="3"/>
  <c r="X120" i="3"/>
  <c r="P120" i="3" s="1"/>
  <c r="S118" i="3"/>
  <c r="T117" i="3"/>
  <c r="T114" i="3"/>
  <c r="N95" i="3"/>
  <c r="O95" i="3" s="1"/>
  <c r="S95" i="3"/>
  <c r="T95" i="3"/>
  <c r="AG95" i="3"/>
  <c r="X95" i="3"/>
  <c r="P95" i="3" s="1"/>
  <c r="AF84" i="3"/>
  <c r="T142" i="3"/>
  <c r="T138" i="3"/>
  <c r="T134" i="3"/>
  <c r="T130" i="3"/>
  <c r="T126" i="3"/>
  <c r="T123" i="3"/>
  <c r="S117" i="3"/>
  <c r="S116" i="3"/>
  <c r="S114" i="3"/>
  <c r="AF101" i="3"/>
  <c r="X98" i="3"/>
  <c r="P98" i="3" s="1"/>
  <c r="N81" i="3"/>
  <c r="O81" i="3" s="1"/>
  <c r="AG119" i="3"/>
  <c r="X119" i="3"/>
  <c r="P119" i="3" s="1"/>
  <c r="N107" i="3"/>
  <c r="O107" i="3" s="1"/>
  <c r="S107" i="3" s="1"/>
  <c r="AG107" i="3"/>
  <c r="X107" i="3"/>
  <c r="P107" i="3" s="1"/>
  <c r="N91" i="3"/>
  <c r="O91" i="3" s="1"/>
  <c r="AG91" i="3"/>
  <c r="X91" i="3"/>
  <c r="P91" i="3" s="1"/>
  <c r="N73" i="3"/>
  <c r="O73" i="3" s="1"/>
  <c r="AG102" i="3"/>
  <c r="AG98" i="3"/>
  <c r="AG94" i="3"/>
  <c r="AG90" i="3"/>
  <c r="AF78" i="3"/>
  <c r="N64" i="3"/>
  <c r="O64" i="3" s="1"/>
  <c r="S64" i="3"/>
  <c r="T64" i="3"/>
  <c r="AG64" i="3"/>
  <c r="X64" i="3"/>
  <c r="P64" i="3" s="1"/>
  <c r="AF57" i="3"/>
  <c r="N112" i="3"/>
  <c r="O112" i="3" s="1"/>
  <c r="N108" i="3"/>
  <c r="O108" i="3" s="1"/>
  <c r="N104" i="3"/>
  <c r="O104" i="3" s="1"/>
  <c r="T102" i="3"/>
  <c r="N100" i="3"/>
  <c r="O100" i="3" s="1"/>
  <c r="T98" i="3"/>
  <c r="N96" i="3"/>
  <c r="O96" i="3" s="1"/>
  <c r="T94" i="3"/>
  <c r="T90" i="3"/>
  <c r="AG84" i="3"/>
  <c r="X84" i="3"/>
  <c r="P84" i="3" s="1"/>
  <c r="T76" i="3"/>
  <c r="N72" i="3"/>
  <c r="O72" i="3" s="1"/>
  <c r="S72" i="3" s="1"/>
  <c r="T72" i="3"/>
  <c r="AG72" i="3"/>
  <c r="X72" i="3"/>
  <c r="P72" i="3" s="1"/>
  <c r="X67" i="3"/>
  <c r="P67" i="3" s="1"/>
  <c r="S47" i="3"/>
  <c r="X34" i="3"/>
  <c r="P34" i="3" s="1"/>
  <c r="S102" i="3"/>
  <c r="T86" i="3"/>
  <c r="T81" i="3"/>
  <c r="N57" i="3"/>
  <c r="O57" i="3" s="1"/>
  <c r="AG50" i="3"/>
  <c r="X112" i="3"/>
  <c r="P112" i="3" s="1"/>
  <c r="X108" i="3"/>
  <c r="P108" i="3" s="1"/>
  <c r="X104" i="3"/>
  <c r="P104" i="3" s="1"/>
  <c r="X100" i="3"/>
  <c r="P100" i="3" s="1"/>
  <c r="X96" i="3"/>
  <c r="P96" i="3" s="1"/>
  <c r="N89" i="3"/>
  <c r="O89" i="3" s="1"/>
  <c r="X87" i="3"/>
  <c r="P87" i="3" s="1"/>
  <c r="S86" i="3"/>
  <c r="X83" i="3"/>
  <c r="P83" i="3" s="1"/>
  <c r="AG83" i="3"/>
  <c r="AF66" i="3"/>
  <c r="N60" i="3"/>
  <c r="O60" i="3" s="1"/>
  <c r="S60" i="3"/>
  <c r="T60" i="3"/>
  <c r="AG60" i="3"/>
  <c r="X60" i="3"/>
  <c r="P60" i="3" s="1"/>
  <c r="AF53" i="3"/>
  <c r="AF46" i="3"/>
  <c r="N76" i="3"/>
  <c r="O76" i="3" s="1"/>
  <c r="AG76" i="3"/>
  <c r="X76" i="3"/>
  <c r="P76" i="3" s="1"/>
  <c r="X75" i="3"/>
  <c r="P75" i="3" s="1"/>
  <c r="AF73" i="3"/>
  <c r="AF69" i="3"/>
  <c r="X63" i="3"/>
  <c r="P63" i="3" s="1"/>
  <c r="AF56" i="3"/>
  <c r="N53" i="3"/>
  <c r="O53" i="3" s="1"/>
  <c r="AF49" i="3"/>
  <c r="X46" i="3"/>
  <c r="P46" i="3" s="1"/>
  <c r="N46" i="3"/>
  <c r="O46" i="3" s="1"/>
  <c r="S46" i="3" s="1"/>
  <c r="AG46" i="3"/>
  <c r="T46" i="3"/>
  <c r="X38" i="3"/>
  <c r="P38" i="3" s="1"/>
  <c r="N38" i="3"/>
  <c r="O38" i="3" s="1"/>
  <c r="T38" i="3"/>
  <c r="AG38" i="3"/>
  <c r="X82" i="3"/>
  <c r="P82" i="3" s="1"/>
  <c r="T77" i="3"/>
  <c r="AG77" i="3"/>
  <c r="X77" i="3"/>
  <c r="P77" i="3" s="1"/>
  <c r="AG42" i="3"/>
  <c r="AG112" i="3"/>
  <c r="X109" i="3"/>
  <c r="P109" i="3" s="1"/>
  <c r="AG108" i="3"/>
  <c r="X105" i="3"/>
  <c r="P105" i="3" s="1"/>
  <c r="AG104" i="3"/>
  <c r="X101" i="3"/>
  <c r="P101" i="3" s="1"/>
  <c r="AG100" i="3"/>
  <c r="X97" i="3"/>
  <c r="P97" i="3" s="1"/>
  <c r="AG96" i="3"/>
  <c r="X93" i="3"/>
  <c r="P93" i="3" s="1"/>
  <c r="AG92" i="3"/>
  <c r="X89" i="3"/>
  <c r="P89" i="3" s="1"/>
  <c r="AF52" i="3"/>
  <c r="S37" i="3"/>
  <c r="N102" i="3"/>
  <c r="O102" i="3" s="1"/>
  <c r="N98" i="3"/>
  <c r="O98" i="3" s="1"/>
  <c r="S98" i="3" s="1"/>
  <c r="N94" i="3"/>
  <c r="O94" i="3" s="1"/>
  <c r="S94" i="3" s="1"/>
  <c r="N90" i="3"/>
  <c r="O90" i="3" s="1"/>
  <c r="S90" i="3" s="1"/>
  <c r="AG81" i="3"/>
  <c r="X81" i="3"/>
  <c r="P81" i="3" s="1"/>
  <c r="T78" i="3"/>
  <c r="AG78" i="3"/>
  <c r="X78" i="3"/>
  <c r="P78" i="3" s="1"/>
  <c r="X59" i="3"/>
  <c r="P59" i="3" s="1"/>
  <c r="N45" i="3"/>
  <c r="O45" i="3" s="1"/>
  <c r="AG86" i="3"/>
  <c r="N80" i="3"/>
  <c r="O80" i="3" s="1"/>
  <c r="S80" i="3" s="1"/>
  <c r="AG80" i="3"/>
  <c r="X80" i="3"/>
  <c r="P80" i="3" s="1"/>
  <c r="X79" i="3"/>
  <c r="P79" i="3" s="1"/>
  <c r="N79" i="3"/>
  <c r="O79" i="3" s="1"/>
  <c r="AG79" i="3"/>
  <c r="S73" i="3"/>
  <c r="T73" i="3"/>
  <c r="AG73" i="3"/>
  <c r="X73" i="3"/>
  <c r="P73" i="3" s="1"/>
  <c r="X71" i="3"/>
  <c r="P71" i="3" s="1"/>
  <c r="N52" i="3"/>
  <c r="O52" i="3" s="1"/>
  <c r="AF44" i="3"/>
  <c r="AG109" i="3"/>
  <c r="AG105" i="3"/>
  <c r="AG101" i="3"/>
  <c r="AG97" i="3"/>
  <c r="AG93" i="3"/>
  <c r="AG88" i="3"/>
  <c r="T87" i="3"/>
  <c r="S84" i="3"/>
  <c r="AF58" i="3"/>
  <c r="N48" i="3"/>
  <c r="O48" i="3" s="1"/>
  <c r="AF24" i="3"/>
  <c r="AG87" i="3"/>
  <c r="S87" i="3"/>
  <c r="T83" i="3"/>
  <c r="N68" i="3"/>
  <c r="O68" i="3" s="1"/>
  <c r="S68" i="3"/>
  <c r="T68" i="3"/>
  <c r="AG68" i="3"/>
  <c r="X68" i="3"/>
  <c r="P68" i="3" s="1"/>
  <c r="AF61" i="3"/>
  <c r="N55" i="3"/>
  <c r="O55" i="3" s="1"/>
  <c r="AF47" i="3"/>
  <c r="N44" i="3"/>
  <c r="O44" i="3" s="1"/>
  <c r="AG75" i="3"/>
  <c r="AG71" i="3"/>
  <c r="AG67" i="3"/>
  <c r="AG63" i="3"/>
  <c r="T57" i="3"/>
  <c r="S51" i="3"/>
  <c r="AG49" i="3"/>
  <c r="X49" i="3"/>
  <c r="P49" i="3" s="1"/>
  <c r="AF41" i="3"/>
  <c r="AF30" i="3"/>
  <c r="S21" i="3"/>
  <c r="AF14" i="3"/>
  <c r="AG12" i="3"/>
  <c r="N69" i="3"/>
  <c r="O69" i="3" s="1"/>
  <c r="N65" i="3"/>
  <c r="O65" i="3" s="1"/>
  <c r="N61" i="3"/>
  <c r="O61" i="3" s="1"/>
  <c r="AG55" i="3"/>
  <c r="AG52" i="3"/>
  <c r="X52" i="3"/>
  <c r="P52" i="3" s="1"/>
  <c r="N39" i="3"/>
  <c r="O39" i="3" s="1"/>
  <c r="T39" i="3"/>
  <c r="AG39" i="3"/>
  <c r="AF36" i="3"/>
  <c r="AF33" i="3"/>
  <c r="N27" i="3"/>
  <c r="O27" i="3" s="1"/>
  <c r="S24" i="3"/>
  <c r="AF17" i="3"/>
  <c r="AF11" i="3"/>
  <c r="X58" i="3"/>
  <c r="P58" i="3" s="1"/>
  <c r="T45" i="3"/>
  <c r="AG45" i="3"/>
  <c r="X45" i="3"/>
  <c r="P45" i="3" s="1"/>
  <c r="X30" i="3"/>
  <c r="P30" i="3" s="1"/>
  <c r="X14" i="3"/>
  <c r="P14" i="3" s="1"/>
  <c r="X69" i="3"/>
  <c r="P69" i="3" s="1"/>
  <c r="X65" i="3"/>
  <c r="P65" i="3" s="1"/>
  <c r="X61" i="3"/>
  <c r="P61" i="3" s="1"/>
  <c r="T53" i="3"/>
  <c r="T50" i="3"/>
  <c r="AF37" i="3"/>
  <c r="AF26" i="3"/>
  <c r="N11" i="3"/>
  <c r="O11" i="3" s="1"/>
  <c r="AG51" i="3"/>
  <c r="AG48" i="3"/>
  <c r="X48" i="3"/>
  <c r="P48" i="3" s="1"/>
  <c r="AG44" i="3"/>
  <c r="X44" i="3"/>
  <c r="P44" i="3" s="1"/>
  <c r="T40" i="3"/>
  <c r="AG40" i="3"/>
  <c r="X40" i="3"/>
  <c r="P40" i="3" s="1"/>
  <c r="N40" i="3"/>
  <c r="O40" i="3" s="1"/>
  <c r="N23" i="3"/>
  <c r="O23" i="3" s="1"/>
  <c r="AF13" i="3"/>
  <c r="X55" i="3"/>
  <c r="P55" i="3" s="1"/>
  <c r="X54" i="3"/>
  <c r="P54" i="3" s="1"/>
  <c r="AF38" i="3"/>
  <c r="AF32" i="3"/>
  <c r="X26" i="3"/>
  <c r="P26" i="3" s="1"/>
  <c r="AF16" i="3"/>
  <c r="AF10" i="3"/>
  <c r="X74" i="3"/>
  <c r="P74" i="3" s="1"/>
  <c r="X70" i="3"/>
  <c r="P70" i="3" s="1"/>
  <c r="AG69" i="3"/>
  <c r="X66" i="3"/>
  <c r="P66" i="3" s="1"/>
  <c r="AG65" i="3"/>
  <c r="AG61" i="3"/>
  <c r="AG57" i="3"/>
  <c r="X57" i="3"/>
  <c r="P57" i="3" s="1"/>
  <c r="T49" i="3"/>
  <c r="N43" i="3"/>
  <c r="O43" i="3" s="1"/>
  <c r="AG43" i="3"/>
  <c r="T41" i="3"/>
  <c r="AG41" i="3"/>
  <c r="X41" i="3"/>
  <c r="P41" i="3" s="1"/>
  <c r="N41" i="3"/>
  <c r="O41" i="3" s="1"/>
  <c r="S41" i="3" s="1"/>
  <c r="S29" i="3"/>
  <c r="AF22" i="3"/>
  <c r="N75" i="3"/>
  <c r="O75" i="3" s="1"/>
  <c r="N71" i="3"/>
  <c r="O71" i="3" s="1"/>
  <c r="T69" i="3"/>
  <c r="N67" i="3"/>
  <c r="O67" i="3" s="1"/>
  <c r="T65" i="3"/>
  <c r="N63" i="3"/>
  <c r="O63" i="3" s="1"/>
  <c r="T61" i="3"/>
  <c r="N59" i="3"/>
  <c r="O59" i="3" s="1"/>
  <c r="T52" i="3"/>
  <c r="S49" i="3"/>
  <c r="N35" i="3"/>
  <c r="O35" i="3" s="1"/>
  <c r="AF25" i="3"/>
  <c r="N19" i="3"/>
  <c r="O19" i="3" s="1"/>
  <c r="S19" i="3" s="1"/>
  <c r="AG13" i="3"/>
  <c r="X10" i="3"/>
  <c r="P10" i="3" s="1"/>
  <c r="S52" i="3"/>
  <c r="X51" i="3"/>
  <c r="P51" i="3" s="1"/>
  <c r="X50" i="3"/>
  <c r="P50" i="3" s="1"/>
  <c r="X42" i="3"/>
  <c r="P42" i="3" s="1"/>
  <c r="N42" i="3"/>
  <c r="O42" i="3" s="1"/>
  <c r="S42" i="3" s="1"/>
  <c r="AF28" i="3"/>
  <c r="X22" i="3"/>
  <c r="P22" i="3" s="1"/>
  <c r="AF15" i="3"/>
  <c r="AG74" i="3"/>
  <c r="AG70" i="3"/>
  <c r="AG66" i="3"/>
  <c r="AG62" i="3"/>
  <c r="AG58" i="3"/>
  <c r="T58" i="3"/>
  <c r="AG53" i="3"/>
  <c r="X53" i="3"/>
  <c r="P53" i="3" s="1"/>
  <c r="S45" i="3"/>
  <c r="X39" i="3"/>
  <c r="P39" i="3" s="1"/>
  <c r="T37" i="3"/>
  <c r="AG37" i="3"/>
  <c r="X37" i="3"/>
  <c r="P37" i="3" s="1"/>
  <c r="N37" i="3"/>
  <c r="O37" i="3" s="1"/>
  <c r="AF34" i="3"/>
  <c r="AF18" i="3"/>
  <c r="S58" i="3"/>
  <c r="AG56" i="3"/>
  <c r="X56" i="3"/>
  <c r="P56" i="3" s="1"/>
  <c r="T48" i="3"/>
  <c r="AF40" i="3"/>
  <c r="N31" i="3"/>
  <c r="O31" i="3" s="1"/>
  <c r="AF21" i="3"/>
  <c r="N15" i="3"/>
  <c r="O15" i="3" s="1"/>
  <c r="N36" i="3"/>
  <c r="O36" i="3" s="1"/>
  <c r="T34" i="3"/>
  <c r="N32" i="3"/>
  <c r="O32" i="3" s="1"/>
  <c r="T30" i="3"/>
  <c r="N28" i="3"/>
  <c r="O28" i="3" s="1"/>
  <c r="T26" i="3"/>
  <c r="N24" i="3"/>
  <c r="O24" i="3" s="1"/>
  <c r="T22" i="3"/>
  <c r="N20" i="3"/>
  <c r="O20" i="3" s="1"/>
  <c r="T18" i="3"/>
  <c r="N16" i="3"/>
  <c r="O16" i="3" s="1"/>
  <c r="T14" i="3"/>
  <c r="N12" i="3"/>
  <c r="O12" i="3" s="1"/>
  <c r="T10" i="3"/>
  <c r="S30" i="3"/>
  <c r="S26" i="3"/>
  <c r="S18" i="3"/>
  <c r="X36" i="3"/>
  <c r="P36" i="3" s="1"/>
  <c r="AG35" i="3"/>
  <c r="X32" i="3"/>
  <c r="P32" i="3" s="1"/>
  <c r="AG31" i="3"/>
  <c r="X28" i="3"/>
  <c r="P28" i="3" s="1"/>
  <c r="AG27" i="3"/>
  <c r="X24" i="3"/>
  <c r="P24" i="3" s="1"/>
  <c r="AG23" i="3"/>
  <c r="X20" i="3"/>
  <c r="P20" i="3" s="1"/>
  <c r="AG19" i="3"/>
  <c r="X16" i="3"/>
  <c r="P16" i="3" s="1"/>
  <c r="AG15" i="3"/>
  <c r="X12" i="3"/>
  <c r="P12" i="3" s="1"/>
  <c r="AG11" i="3"/>
  <c r="T35" i="3"/>
  <c r="N33" i="3"/>
  <c r="O33" i="3" s="1"/>
  <c r="N29" i="3"/>
  <c r="O29" i="3" s="1"/>
  <c r="T27" i="3"/>
  <c r="N25" i="3"/>
  <c r="O25" i="3" s="1"/>
  <c r="T23" i="3"/>
  <c r="N21" i="3"/>
  <c r="O21" i="3" s="1"/>
  <c r="T19" i="3"/>
  <c r="N17" i="3"/>
  <c r="O17" i="3" s="1"/>
  <c r="T15" i="3"/>
  <c r="N13" i="3"/>
  <c r="O13" i="3" s="1"/>
  <c r="T11" i="3"/>
  <c r="S27" i="3"/>
  <c r="S23" i="3"/>
  <c r="S15" i="3"/>
  <c r="S11" i="3"/>
  <c r="AG36" i="3"/>
  <c r="X33" i="3"/>
  <c r="P33" i="3" s="1"/>
  <c r="AG32" i="3"/>
  <c r="X29" i="3"/>
  <c r="P29" i="3" s="1"/>
  <c r="AG28" i="3"/>
  <c r="X25" i="3"/>
  <c r="P25" i="3" s="1"/>
  <c r="AG24" i="3"/>
  <c r="X21" i="3"/>
  <c r="P21" i="3" s="1"/>
  <c r="AG20" i="3"/>
  <c r="X17" i="3"/>
  <c r="P17" i="3" s="1"/>
  <c r="AG16" i="3"/>
  <c r="X13" i="3"/>
  <c r="P13" i="3" s="1"/>
  <c r="N34" i="3"/>
  <c r="O34" i="3" s="1"/>
  <c r="S34" i="3" s="1"/>
  <c r="N30" i="3"/>
  <c r="O30" i="3" s="1"/>
  <c r="N26" i="3"/>
  <c r="O26" i="3" s="1"/>
  <c r="T24" i="3"/>
  <c r="N22" i="3"/>
  <c r="O22" i="3" s="1"/>
  <c r="N18" i="3"/>
  <c r="O18" i="3" s="1"/>
  <c r="N14" i="3"/>
  <c r="O14" i="3" s="1"/>
  <c r="N10" i="3"/>
  <c r="O10" i="3" s="1"/>
  <c r="AG33" i="3"/>
  <c r="AG29" i="3"/>
  <c r="AG25" i="3"/>
  <c r="AG21" i="3"/>
  <c r="AG17" i="3"/>
  <c r="T33" i="3"/>
  <c r="T29" i="3"/>
  <c r="T25" i="3"/>
  <c r="T21" i="3"/>
  <c r="J171" i="30"/>
  <c r="R169" i="30"/>
  <c r="S169" i="30"/>
  <c r="T169" i="30"/>
  <c r="K159" i="30"/>
  <c r="M156" i="30"/>
  <c r="N156" i="30" s="1"/>
  <c r="P156" i="30" s="1"/>
  <c r="K147" i="30"/>
  <c r="K135" i="30"/>
  <c r="K123" i="30"/>
  <c r="K111" i="30"/>
  <c r="K99" i="30"/>
  <c r="J152" i="30"/>
  <c r="L152" i="30"/>
  <c r="M118" i="30"/>
  <c r="N118" i="30" s="1"/>
  <c r="J80" i="30"/>
  <c r="K80" i="30"/>
  <c r="L80" i="30"/>
  <c r="J68" i="30"/>
  <c r="K68" i="30"/>
  <c r="L68" i="30"/>
  <c r="J56" i="30"/>
  <c r="K56" i="30"/>
  <c r="L56" i="30"/>
  <c r="J44" i="30"/>
  <c r="K44" i="30"/>
  <c r="L44" i="30"/>
  <c r="J32" i="30"/>
  <c r="K32" i="30"/>
  <c r="L32" i="30"/>
  <c r="J20" i="30"/>
  <c r="K20" i="30"/>
  <c r="L20" i="30"/>
  <c r="J140" i="30"/>
  <c r="L140" i="30"/>
  <c r="J104" i="30"/>
  <c r="L104" i="30"/>
  <c r="K104" i="30"/>
  <c r="Q101" i="30"/>
  <c r="J92" i="30"/>
  <c r="K92" i="30"/>
  <c r="L92" i="30"/>
  <c r="P179" i="30"/>
  <c r="M178" i="30"/>
  <c r="N178" i="30" s="1"/>
  <c r="P143" i="30"/>
  <c r="P119" i="30"/>
  <c r="M139" i="30"/>
  <c r="N139" i="30" s="1"/>
  <c r="P139" i="30" s="1"/>
  <c r="J176" i="30"/>
  <c r="K176" i="30"/>
  <c r="P174" i="30"/>
  <c r="J116" i="30"/>
  <c r="L116" i="30"/>
  <c r="K116" i="30"/>
  <c r="M171" i="30"/>
  <c r="N171" i="30" s="1"/>
  <c r="L176" i="30"/>
  <c r="M176" i="30" s="1"/>
  <c r="N176" i="30" s="1"/>
  <c r="P177" i="30"/>
  <c r="M164" i="30"/>
  <c r="N164" i="30" s="1"/>
  <c r="P153" i="30"/>
  <c r="M152" i="30"/>
  <c r="N152" i="30" s="1"/>
  <c r="P129" i="30"/>
  <c r="M128" i="30"/>
  <c r="N128" i="30" s="1"/>
  <c r="M116" i="30"/>
  <c r="N116" i="30" s="1"/>
  <c r="P116" i="30" s="1"/>
  <c r="Q104" i="30"/>
  <c r="J164" i="30"/>
  <c r="L164" i="30"/>
  <c r="M145" i="30"/>
  <c r="N145" i="30" s="1"/>
  <c r="P145" i="30" s="1"/>
  <c r="P175" i="30"/>
  <c r="M150" i="30"/>
  <c r="N150" i="30" s="1"/>
  <c r="P150" i="30" s="1"/>
  <c r="P152" i="30"/>
  <c r="J128" i="30"/>
  <c r="L128" i="30"/>
  <c r="K128" i="30"/>
  <c r="P168" i="30"/>
  <c r="M167" i="30"/>
  <c r="N167" i="30" s="1"/>
  <c r="P167" i="30" s="1"/>
  <c r="P144" i="30"/>
  <c r="P120" i="30"/>
  <c r="K140" i="30"/>
  <c r="M140" i="30" s="1"/>
  <c r="N140" i="30" s="1"/>
  <c r="P178" i="30"/>
  <c r="P142" i="30"/>
  <c r="M141" i="30"/>
  <c r="N141" i="30" s="1"/>
  <c r="P141" i="30" s="1"/>
  <c r="P118" i="30"/>
  <c r="M117" i="30"/>
  <c r="N117" i="30" s="1"/>
  <c r="Q117" i="30" s="1"/>
  <c r="P164" i="30"/>
  <c r="P128" i="30"/>
  <c r="P171" i="30"/>
  <c r="M170" i="30"/>
  <c r="N170" i="30" s="1"/>
  <c r="P170" i="30" s="1"/>
  <c r="M158" i="30"/>
  <c r="N158" i="30" s="1"/>
  <c r="Q158" i="30" s="1"/>
  <c r="M134" i="30"/>
  <c r="N134" i="30" s="1"/>
  <c r="Q134" i="30" s="1"/>
  <c r="J157" i="30"/>
  <c r="J145" i="30"/>
  <c r="J133" i="30"/>
  <c r="J121" i="30"/>
  <c r="M121" i="30" s="1"/>
  <c r="N121" i="30" s="1"/>
  <c r="J109" i="30"/>
  <c r="L109" i="30"/>
  <c r="M109" i="30" s="1"/>
  <c r="N109" i="30" s="1"/>
  <c r="L97" i="30"/>
  <c r="J97" i="30"/>
  <c r="K97" i="30"/>
  <c r="J85" i="30"/>
  <c r="K85" i="30"/>
  <c r="L85" i="30"/>
  <c r="J73" i="30"/>
  <c r="K73" i="30"/>
  <c r="L73" i="30"/>
  <c r="J61" i="30"/>
  <c r="K61" i="30"/>
  <c r="L61" i="30"/>
  <c r="J49" i="30"/>
  <c r="K49" i="30"/>
  <c r="L49" i="30"/>
  <c r="J37" i="30"/>
  <c r="K37" i="30"/>
  <c r="L37" i="30"/>
  <c r="J25" i="30"/>
  <c r="K25" i="30"/>
  <c r="L25" i="30"/>
  <c r="K179" i="30"/>
  <c r="K178" i="30"/>
  <c r="K177" i="30"/>
  <c r="K175" i="30"/>
  <c r="K174" i="30"/>
  <c r="K173" i="30"/>
  <c r="M173" i="30" s="1"/>
  <c r="N173" i="30" s="1"/>
  <c r="K172" i="30"/>
  <c r="M172" i="30" s="1"/>
  <c r="N172" i="30" s="1"/>
  <c r="K171" i="30"/>
  <c r="K170" i="30"/>
  <c r="K169" i="30"/>
  <c r="K168" i="30"/>
  <c r="K167" i="30"/>
  <c r="K166" i="30"/>
  <c r="M166" i="30" s="1"/>
  <c r="N166" i="30" s="1"/>
  <c r="K165" i="30"/>
  <c r="M165" i="30" s="1"/>
  <c r="N165" i="30" s="1"/>
  <c r="P158" i="30"/>
  <c r="L154" i="30"/>
  <c r="M154" i="30" s="1"/>
  <c r="N154" i="30" s="1"/>
  <c r="K153" i="30"/>
  <c r="L142" i="30"/>
  <c r="K141" i="30"/>
  <c r="P134" i="30"/>
  <c r="L130" i="30"/>
  <c r="M130" i="30" s="1"/>
  <c r="N130" i="30" s="1"/>
  <c r="K129" i="30"/>
  <c r="L118" i="30"/>
  <c r="K117" i="30"/>
  <c r="P101" i="30"/>
  <c r="J102" i="30"/>
  <c r="L102" i="30"/>
  <c r="J90" i="30"/>
  <c r="K90" i="30"/>
  <c r="L90" i="30"/>
  <c r="J78" i="30"/>
  <c r="K78" i="30"/>
  <c r="L78" i="30"/>
  <c r="J66" i="30"/>
  <c r="K66" i="30"/>
  <c r="L66" i="30"/>
  <c r="J54" i="30"/>
  <c r="K54" i="30"/>
  <c r="L54" i="30"/>
  <c r="J42" i="30"/>
  <c r="K42" i="30"/>
  <c r="L42" i="30"/>
  <c r="J30" i="30"/>
  <c r="K30" i="30"/>
  <c r="L30" i="30"/>
  <c r="J18" i="30"/>
  <c r="K18" i="30"/>
  <c r="L18" i="30"/>
  <c r="L155" i="30"/>
  <c r="M155" i="30" s="1"/>
  <c r="N155" i="30" s="1"/>
  <c r="L143" i="30"/>
  <c r="L131" i="30"/>
  <c r="M131" i="30" s="1"/>
  <c r="N131" i="30" s="1"/>
  <c r="L119" i="30"/>
  <c r="K109" i="30"/>
  <c r="J107" i="30"/>
  <c r="L107" i="30"/>
  <c r="M107" i="30" s="1"/>
  <c r="N107" i="30" s="1"/>
  <c r="M104" i="30"/>
  <c r="N104" i="30" s="1"/>
  <c r="P104" i="30" s="1"/>
  <c r="J95" i="30"/>
  <c r="K95" i="30"/>
  <c r="L95" i="30"/>
  <c r="M92" i="30"/>
  <c r="N92" i="30" s="1"/>
  <c r="Q92" i="30" s="1"/>
  <c r="J83" i="30"/>
  <c r="K83" i="30"/>
  <c r="L83" i="30"/>
  <c r="Q80" i="30"/>
  <c r="M80" i="30"/>
  <c r="N80" i="30" s="1"/>
  <c r="J71" i="30"/>
  <c r="K71" i="30"/>
  <c r="L71" i="30"/>
  <c r="Q68" i="30"/>
  <c r="M68" i="30"/>
  <c r="N68" i="30" s="1"/>
  <c r="J59" i="30"/>
  <c r="K59" i="30"/>
  <c r="L59" i="30"/>
  <c r="Q56" i="30"/>
  <c r="M56" i="30"/>
  <c r="N56" i="30" s="1"/>
  <c r="J47" i="30"/>
  <c r="K47" i="30"/>
  <c r="L47" i="30"/>
  <c r="Q44" i="30"/>
  <c r="M44" i="30"/>
  <c r="N44" i="30" s="1"/>
  <c r="J35" i="30"/>
  <c r="K35" i="30"/>
  <c r="L35" i="30"/>
  <c r="M32" i="30"/>
  <c r="N32" i="30" s="1"/>
  <c r="Q32" i="30" s="1"/>
  <c r="J23" i="30"/>
  <c r="K23" i="30"/>
  <c r="L23" i="30"/>
  <c r="M20" i="30"/>
  <c r="N20" i="30" s="1"/>
  <c r="Q20" i="30" s="1"/>
  <c r="L156" i="30"/>
  <c r="K155" i="30"/>
  <c r="L144" i="30"/>
  <c r="K143" i="30"/>
  <c r="L132" i="30"/>
  <c r="M132" i="30" s="1"/>
  <c r="N132" i="30" s="1"/>
  <c r="K131" i="30"/>
  <c r="L120" i="30"/>
  <c r="K119" i="30"/>
  <c r="J160" i="30"/>
  <c r="J148" i="30"/>
  <c r="J136" i="30"/>
  <c r="J124" i="30"/>
  <c r="J112" i="30"/>
  <c r="J100" i="30"/>
  <c r="L100" i="30"/>
  <c r="M97" i="30"/>
  <c r="N97" i="30" s="1"/>
  <c r="Q97" i="30" s="1"/>
  <c r="J88" i="30"/>
  <c r="K88" i="30"/>
  <c r="L88" i="30"/>
  <c r="M85" i="30"/>
  <c r="N85" i="30" s="1"/>
  <c r="Q85" i="30" s="1"/>
  <c r="J76" i="30"/>
  <c r="K76" i="30"/>
  <c r="L76" i="30"/>
  <c r="M73" i="30"/>
  <c r="N73" i="30" s="1"/>
  <c r="Q73" i="30" s="1"/>
  <c r="J64" i="30"/>
  <c r="K64" i="30"/>
  <c r="L64" i="30"/>
  <c r="M61" i="30"/>
  <c r="N61" i="30" s="1"/>
  <c r="Q61" i="30" s="1"/>
  <c r="J52" i="30"/>
  <c r="K52" i="30"/>
  <c r="L52" i="30"/>
  <c r="M49" i="30"/>
  <c r="N49" i="30" s="1"/>
  <c r="Q49" i="30" s="1"/>
  <c r="J40" i="30"/>
  <c r="K40" i="30"/>
  <c r="L40" i="30"/>
  <c r="M37" i="30"/>
  <c r="N37" i="30" s="1"/>
  <c r="Q37" i="30" s="1"/>
  <c r="J28" i="30"/>
  <c r="K28" i="30"/>
  <c r="L28" i="30"/>
  <c r="M25" i="30"/>
  <c r="N25" i="30" s="1"/>
  <c r="Q25" i="30" s="1"/>
  <c r="J16" i="30"/>
  <c r="K16" i="30"/>
  <c r="L16" i="30"/>
  <c r="L157" i="30"/>
  <c r="M157" i="30" s="1"/>
  <c r="N157" i="30" s="1"/>
  <c r="K156" i="30"/>
  <c r="L145" i="30"/>
  <c r="K144" i="30"/>
  <c r="L133" i="30"/>
  <c r="M133" i="30" s="1"/>
  <c r="N133" i="30" s="1"/>
  <c r="K132" i="30"/>
  <c r="L121" i="30"/>
  <c r="K120" i="30"/>
  <c r="Q102" i="30"/>
  <c r="K96" i="30"/>
  <c r="J105" i="30"/>
  <c r="L105" i="30"/>
  <c r="M105" i="30" s="1"/>
  <c r="N105" i="30" s="1"/>
  <c r="M102" i="30"/>
  <c r="N102" i="30" s="1"/>
  <c r="P102" i="30" s="1"/>
  <c r="J93" i="30"/>
  <c r="K93" i="30"/>
  <c r="L93" i="30"/>
  <c r="M90" i="30"/>
  <c r="N90" i="30" s="1"/>
  <c r="P90" i="30" s="1"/>
  <c r="J81" i="30"/>
  <c r="K81" i="30"/>
  <c r="L81" i="30"/>
  <c r="Q78" i="30"/>
  <c r="P79" i="30"/>
  <c r="M78" i="30"/>
  <c r="N78" i="30" s="1"/>
  <c r="P78" i="30" s="1"/>
  <c r="J69" i="30"/>
  <c r="K69" i="30"/>
  <c r="L69" i="30"/>
  <c r="M66" i="30"/>
  <c r="N66" i="30" s="1"/>
  <c r="Q66" i="30" s="1"/>
  <c r="J57" i="30"/>
  <c r="K57" i="30"/>
  <c r="L57" i="30"/>
  <c r="Q54" i="30"/>
  <c r="P55" i="30"/>
  <c r="M54" i="30"/>
  <c r="N54" i="30" s="1"/>
  <c r="P54" i="30" s="1"/>
  <c r="J45" i="30"/>
  <c r="K45" i="30"/>
  <c r="L45" i="30"/>
  <c r="M42" i="30"/>
  <c r="N42" i="30" s="1"/>
  <c r="Q42" i="30" s="1"/>
  <c r="J33" i="30"/>
  <c r="K33" i="30"/>
  <c r="L33" i="30"/>
  <c r="P31" i="30"/>
  <c r="M30" i="30"/>
  <c r="N30" i="30" s="1"/>
  <c r="P30" i="30" s="1"/>
  <c r="J21" i="30"/>
  <c r="K21" i="30"/>
  <c r="L21" i="30"/>
  <c r="M18" i="30"/>
  <c r="N18" i="30" s="1"/>
  <c r="Q18" i="30" s="1"/>
  <c r="K157" i="30"/>
  <c r="K145" i="30"/>
  <c r="Q139" i="30"/>
  <c r="K133" i="30"/>
  <c r="K121" i="30"/>
  <c r="J96" i="30"/>
  <c r="J158" i="30"/>
  <c r="J146" i="30"/>
  <c r="M146" i="30" s="1"/>
  <c r="N146" i="30" s="1"/>
  <c r="J134" i="30"/>
  <c r="J122" i="30"/>
  <c r="M122" i="30" s="1"/>
  <c r="N122" i="30" s="1"/>
  <c r="J110" i="30"/>
  <c r="L110" i="30"/>
  <c r="M110" i="30" s="1"/>
  <c r="N110" i="30" s="1"/>
  <c r="L98" i="30"/>
  <c r="Q95" i="30"/>
  <c r="M95" i="30"/>
  <c r="N95" i="30" s="1"/>
  <c r="P95" i="30" s="1"/>
  <c r="J86" i="30"/>
  <c r="K86" i="30"/>
  <c r="L86" i="30"/>
  <c r="M83" i="30"/>
  <c r="N83" i="30" s="1"/>
  <c r="P83" i="30" s="1"/>
  <c r="J74" i="30"/>
  <c r="K74" i="30"/>
  <c r="L74" i="30"/>
  <c r="M71" i="30"/>
  <c r="N71" i="30" s="1"/>
  <c r="Q71" i="30" s="1"/>
  <c r="J62" i="30"/>
  <c r="K62" i="30"/>
  <c r="L62" i="30"/>
  <c r="M59" i="30"/>
  <c r="N59" i="30" s="1"/>
  <c r="P59" i="30" s="1"/>
  <c r="J50" i="30"/>
  <c r="K50" i="30"/>
  <c r="L50" i="30"/>
  <c r="M47" i="30"/>
  <c r="N47" i="30" s="1"/>
  <c r="Q47" i="30" s="1"/>
  <c r="J38" i="30"/>
  <c r="K38" i="30"/>
  <c r="L38" i="30"/>
  <c r="M35" i="30"/>
  <c r="N35" i="30" s="1"/>
  <c r="P35" i="30" s="1"/>
  <c r="J26" i="30"/>
  <c r="K26" i="30"/>
  <c r="L26" i="30"/>
  <c r="M23" i="30"/>
  <c r="N23" i="30" s="1"/>
  <c r="Q23" i="30" s="1"/>
  <c r="Q164" i="30"/>
  <c r="L159" i="30"/>
  <c r="M159" i="30" s="1"/>
  <c r="N159" i="30" s="1"/>
  <c r="K158" i="30"/>
  <c r="Q152" i="30"/>
  <c r="L147" i="30"/>
  <c r="K146" i="30"/>
  <c r="L135" i="30"/>
  <c r="M135" i="30" s="1"/>
  <c r="N135" i="30" s="1"/>
  <c r="K134" i="30"/>
  <c r="Q128" i="30"/>
  <c r="L123" i="30"/>
  <c r="K122" i="30"/>
  <c r="Q116" i="30"/>
  <c r="K105" i="30"/>
  <c r="J163" i="30"/>
  <c r="J151" i="30"/>
  <c r="J139" i="30"/>
  <c r="J127" i="30"/>
  <c r="J115" i="30"/>
  <c r="J103" i="30"/>
  <c r="L103" i="30"/>
  <c r="J91" i="30"/>
  <c r="K91" i="30"/>
  <c r="L91" i="30"/>
  <c r="M88" i="30"/>
  <c r="N88" i="30" s="1"/>
  <c r="P88" i="30" s="1"/>
  <c r="J79" i="30"/>
  <c r="K79" i="30"/>
  <c r="L79" i="30"/>
  <c r="Q76" i="30"/>
  <c r="M76" i="30"/>
  <c r="N76" i="30" s="1"/>
  <c r="P76" i="30" s="1"/>
  <c r="J67" i="30"/>
  <c r="K67" i="30"/>
  <c r="L67" i="30"/>
  <c r="M64" i="30"/>
  <c r="N64" i="30" s="1"/>
  <c r="P64" i="30" s="1"/>
  <c r="J55" i="30"/>
  <c r="K55" i="30"/>
  <c r="L55" i="30"/>
  <c r="Q52" i="30"/>
  <c r="M52" i="30"/>
  <c r="N52" i="30" s="1"/>
  <c r="P52" i="30" s="1"/>
  <c r="J43" i="30"/>
  <c r="K43" i="30"/>
  <c r="L43" i="30"/>
  <c r="M40" i="30"/>
  <c r="N40" i="30" s="1"/>
  <c r="P40" i="30" s="1"/>
  <c r="J31" i="30"/>
  <c r="K31" i="30"/>
  <c r="L31" i="30"/>
  <c r="Q28" i="30"/>
  <c r="M28" i="30"/>
  <c r="N28" i="30" s="1"/>
  <c r="P28" i="30" s="1"/>
  <c r="J19" i="30"/>
  <c r="K19" i="30"/>
  <c r="L19" i="30"/>
  <c r="M16" i="30"/>
  <c r="N16" i="30" s="1"/>
  <c r="P16" i="30" s="1"/>
  <c r="Q178" i="30"/>
  <c r="Q177" i="30"/>
  <c r="Q175" i="30"/>
  <c r="Q174" i="30"/>
  <c r="Q171" i="30"/>
  <c r="Q170" i="30"/>
  <c r="Q169" i="30"/>
  <c r="Q168" i="30"/>
  <c r="Q167" i="30"/>
  <c r="L160" i="30"/>
  <c r="Q153" i="30"/>
  <c r="L148" i="30"/>
  <c r="Q141" i="30"/>
  <c r="L136" i="30"/>
  <c r="Q129" i="30"/>
  <c r="L124" i="30"/>
  <c r="L112" i="30"/>
  <c r="K102" i="30"/>
  <c r="J108" i="30"/>
  <c r="L108" i="30"/>
  <c r="M108" i="30" s="1"/>
  <c r="N108" i="30" s="1"/>
  <c r="M93" i="30"/>
  <c r="N93" i="30" s="1"/>
  <c r="P93" i="30" s="1"/>
  <c r="J84" i="30"/>
  <c r="K84" i="30"/>
  <c r="L84" i="30"/>
  <c r="Q81" i="30"/>
  <c r="M81" i="30"/>
  <c r="N81" i="30" s="1"/>
  <c r="J72" i="30"/>
  <c r="K72" i="30"/>
  <c r="L72" i="30"/>
  <c r="M69" i="30"/>
  <c r="N69" i="30" s="1"/>
  <c r="P69" i="30" s="1"/>
  <c r="J60" i="30"/>
  <c r="K60" i="30"/>
  <c r="L60" i="30"/>
  <c r="Q57" i="30"/>
  <c r="M57" i="30"/>
  <c r="N57" i="30" s="1"/>
  <c r="P57" i="30" s="1"/>
  <c r="J48" i="30"/>
  <c r="K48" i="30"/>
  <c r="L48" i="30"/>
  <c r="M45" i="30"/>
  <c r="N45" i="30" s="1"/>
  <c r="P45" i="30" s="1"/>
  <c r="J36" i="30"/>
  <c r="K36" i="30"/>
  <c r="L36" i="30"/>
  <c r="Q33" i="30"/>
  <c r="M33" i="30"/>
  <c r="N33" i="30" s="1"/>
  <c r="P33" i="30" s="1"/>
  <c r="J24" i="30"/>
  <c r="K24" i="30"/>
  <c r="L24" i="30"/>
  <c r="M21" i="30"/>
  <c r="N21" i="30" s="1"/>
  <c r="P21" i="30" s="1"/>
  <c r="K160" i="30"/>
  <c r="M160" i="30" s="1"/>
  <c r="N160" i="30" s="1"/>
  <c r="K148" i="30"/>
  <c r="M148" i="30" s="1"/>
  <c r="N148" i="30" s="1"/>
  <c r="Q142" i="30"/>
  <c r="K136" i="30"/>
  <c r="M136" i="30" s="1"/>
  <c r="N136" i="30" s="1"/>
  <c r="K124" i="30"/>
  <c r="M124" i="30" s="1"/>
  <c r="N124" i="30" s="1"/>
  <c r="Q118" i="30"/>
  <c r="K112" i="30"/>
  <c r="M112" i="30" s="1"/>
  <c r="N112" i="30" s="1"/>
  <c r="K98" i="30"/>
  <c r="J161" i="30"/>
  <c r="J149" i="30"/>
  <c r="J137" i="30"/>
  <c r="J125" i="30"/>
  <c r="J113" i="30"/>
  <c r="J101" i="30"/>
  <c r="L101" i="30"/>
  <c r="J89" i="30"/>
  <c r="K89" i="30"/>
  <c r="M89" i="30" s="1"/>
  <c r="N89" i="30" s="1"/>
  <c r="L89" i="30"/>
  <c r="M86" i="30"/>
  <c r="N86" i="30" s="1"/>
  <c r="P86" i="30" s="1"/>
  <c r="J77" i="30"/>
  <c r="K77" i="30"/>
  <c r="M77" i="30" s="1"/>
  <c r="N77" i="30" s="1"/>
  <c r="L77" i="30"/>
  <c r="Q74" i="30"/>
  <c r="M74" i="30"/>
  <c r="N74" i="30" s="1"/>
  <c r="P74" i="30" s="1"/>
  <c r="J65" i="30"/>
  <c r="K65" i="30"/>
  <c r="M65" i="30" s="1"/>
  <c r="N65" i="30" s="1"/>
  <c r="L65" i="30"/>
  <c r="Q62" i="30"/>
  <c r="M62" i="30"/>
  <c r="N62" i="30" s="1"/>
  <c r="P62" i="30" s="1"/>
  <c r="J53" i="30"/>
  <c r="K53" i="30"/>
  <c r="M53" i="30" s="1"/>
  <c r="N53" i="30" s="1"/>
  <c r="L53" i="30"/>
  <c r="Q50" i="30"/>
  <c r="M50" i="30"/>
  <c r="N50" i="30" s="1"/>
  <c r="P50" i="30" s="1"/>
  <c r="J41" i="30"/>
  <c r="K41" i="30"/>
  <c r="M41" i="30" s="1"/>
  <c r="N41" i="30" s="1"/>
  <c r="L41" i="30"/>
  <c r="Q38" i="30"/>
  <c r="M38" i="30"/>
  <c r="N38" i="30" s="1"/>
  <c r="P38" i="30" s="1"/>
  <c r="J29" i="30"/>
  <c r="K29" i="30"/>
  <c r="M29" i="30" s="1"/>
  <c r="N29" i="30" s="1"/>
  <c r="L29" i="30"/>
  <c r="Q26" i="30"/>
  <c r="M26" i="30"/>
  <c r="N26" i="30" s="1"/>
  <c r="P26" i="30" s="1"/>
  <c r="J17" i="30"/>
  <c r="K17" i="30"/>
  <c r="M17" i="30" s="1"/>
  <c r="N17" i="30" s="1"/>
  <c r="L17" i="30"/>
  <c r="L162" i="30"/>
  <c r="K161" i="30"/>
  <c r="M161" i="30" s="1"/>
  <c r="N161" i="30" s="1"/>
  <c r="L150" i="30"/>
  <c r="K149" i="30"/>
  <c r="M149" i="30" s="1"/>
  <c r="N149" i="30" s="1"/>
  <c r="Q143" i="30"/>
  <c r="L138" i="30"/>
  <c r="K137" i="30"/>
  <c r="M137" i="30" s="1"/>
  <c r="N137" i="30" s="1"/>
  <c r="L126" i="30"/>
  <c r="M126" i="30" s="1"/>
  <c r="N126" i="30" s="1"/>
  <c r="K125" i="30"/>
  <c r="M125" i="30" s="1"/>
  <c r="N125" i="30" s="1"/>
  <c r="Q119" i="30"/>
  <c r="L114" i="30"/>
  <c r="K113" i="30"/>
  <c r="M113" i="30" s="1"/>
  <c r="N113" i="30" s="1"/>
  <c r="J98" i="30"/>
  <c r="M98" i="30" s="1"/>
  <c r="N98" i="30" s="1"/>
  <c r="P81" i="30"/>
  <c r="J154" i="30"/>
  <c r="J142" i="30"/>
  <c r="J130" i="30"/>
  <c r="J118" i="30"/>
  <c r="J106" i="30"/>
  <c r="L106" i="30"/>
  <c r="M106" i="30" s="1"/>
  <c r="N106" i="30" s="1"/>
  <c r="M103" i="30"/>
  <c r="N103" i="30" s="1"/>
  <c r="Q103" i="30" s="1"/>
  <c r="J94" i="30"/>
  <c r="K94" i="30"/>
  <c r="M94" i="30" s="1"/>
  <c r="N94" i="30" s="1"/>
  <c r="L94" i="30"/>
  <c r="Q91" i="30"/>
  <c r="P92" i="30"/>
  <c r="M91" i="30"/>
  <c r="N91" i="30" s="1"/>
  <c r="P91" i="30" s="1"/>
  <c r="J82" i="30"/>
  <c r="K82" i="30"/>
  <c r="L82" i="30"/>
  <c r="M82" i="30" s="1"/>
  <c r="N82" i="30" s="1"/>
  <c r="P80" i="30"/>
  <c r="M79" i="30"/>
  <c r="N79" i="30" s="1"/>
  <c r="Q79" i="30" s="1"/>
  <c r="J70" i="30"/>
  <c r="K70" i="30"/>
  <c r="M70" i="30" s="1"/>
  <c r="N70" i="30" s="1"/>
  <c r="L70" i="30"/>
  <c r="Q67" i="30"/>
  <c r="P68" i="30"/>
  <c r="M67" i="30"/>
  <c r="N67" i="30" s="1"/>
  <c r="P67" i="30" s="1"/>
  <c r="J58" i="30"/>
  <c r="K58" i="30"/>
  <c r="L58" i="30"/>
  <c r="M58" i="30" s="1"/>
  <c r="N58" i="30" s="1"/>
  <c r="P56" i="30"/>
  <c r="M55" i="30"/>
  <c r="N55" i="30" s="1"/>
  <c r="Q55" i="30" s="1"/>
  <c r="J46" i="30"/>
  <c r="K46" i="30"/>
  <c r="M46" i="30" s="1"/>
  <c r="N46" i="30" s="1"/>
  <c r="L46" i="30"/>
  <c r="Q43" i="30"/>
  <c r="P44" i="30"/>
  <c r="M43" i="30"/>
  <c r="N43" i="30" s="1"/>
  <c r="P43" i="30" s="1"/>
  <c r="J34" i="30"/>
  <c r="K34" i="30"/>
  <c r="L34" i="30"/>
  <c r="M34" i="30" s="1"/>
  <c r="N34" i="30" s="1"/>
  <c r="P32" i="30"/>
  <c r="M31" i="30"/>
  <c r="N31" i="30" s="1"/>
  <c r="Q31" i="30" s="1"/>
  <c r="J22" i="30"/>
  <c r="K22" i="30"/>
  <c r="M22" i="30" s="1"/>
  <c r="N22" i="30" s="1"/>
  <c r="L22" i="30"/>
  <c r="Q19" i="30"/>
  <c r="P20" i="30"/>
  <c r="M19" i="30"/>
  <c r="N19" i="30" s="1"/>
  <c r="P19" i="30" s="1"/>
  <c r="L163" i="30"/>
  <c r="K162" i="30"/>
  <c r="M162" i="30" s="1"/>
  <c r="N162" i="30" s="1"/>
  <c r="L151" i="30"/>
  <c r="M151" i="30" s="1"/>
  <c r="N151" i="30" s="1"/>
  <c r="K150" i="30"/>
  <c r="L139" i="30"/>
  <c r="K138" i="30"/>
  <c r="M138" i="30" s="1"/>
  <c r="N138" i="30" s="1"/>
  <c r="L127" i="30"/>
  <c r="M127" i="30" s="1"/>
  <c r="N127" i="30" s="1"/>
  <c r="K126" i="30"/>
  <c r="L115" i="30"/>
  <c r="K114" i="30"/>
  <c r="M114" i="30" s="1"/>
  <c r="N114" i="30" s="1"/>
  <c r="K107" i="30"/>
  <c r="K100" i="30"/>
  <c r="M100" i="30" s="1"/>
  <c r="N100" i="30" s="1"/>
  <c r="J159" i="30"/>
  <c r="J147" i="30"/>
  <c r="M147" i="30" s="1"/>
  <c r="N147" i="30" s="1"/>
  <c r="J135" i="30"/>
  <c r="J123" i="30"/>
  <c r="M123" i="30" s="1"/>
  <c r="N123" i="30" s="1"/>
  <c r="J111" i="30"/>
  <c r="L111" i="30"/>
  <c r="M111" i="30" s="1"/>
  <c r="N111" i="30" s="1"/>
  <c r="L99" i="30"/>
  <c r="J99" i="30"/>
  <c r="M99" i="30" s="1"/>
  <c r="N99" i="30" s="1"/>
  <c r="P97" i="30"/>
  <c r="M96" i="30"/>
  <c r="N96" i="30" s="1"/>
  <c r="P96" i="30" s="1"/>
  <c r="J87" i="30"/>
  <c r="K87" i="30"/>
  <c r="L87" i="30"/>
  <c r="M87" i="30" s="1"/>
  <c r="N87" i="30" s="1"/>
  <c r="P85" i="30"/>
  <c r="M84" i="30"/>
  <c r="N84" i="30" s="1"/>
  <c r="Q84" i="30" s="1"/>
  <c r="J75" i="30"/>
  <c r="M75" i="30" s="1"/>
  <c r="N75" i="30" s="1"/>
  <c r="K75" i="30"/>
  <c r="L75" i="30"/>
  <c r="P73" i="30"/>
  <c r="M72" i="30"/>
  <c r="N72" i="30" s="1"/>
  <c r="P72" i="30" s="1"/>
  <c r="J63" i="30"/>
  <c r="K63" i="30"/>
  <c r="L63" i="30"/>
  <c r="M63" i="30" s="1"/>
  <c r="N63" i="30" s="1"/>
  <c r="P61" i="30"/>
  <c r="M60" i="30"/>
  <c r="N60" i="30" s="1"/>
  <c r="Q60" i="30" s="1"/>
  <c r="J51" i="30"/>
  <c r="M51" i="30" s="1"/>
  <c r="N51" i="30" s="1"/>
  <c r="K51" i="30"/>
  <c r="L51" i="30"/>
  <c r="P49" i="30"/>
  <c r="M48" i="30"/>
  <c r="N48" i="30" s="1"/>
  <c r="P48" i="30" s="1"/>
  <c r="J39" i="30"/>
  <c r="K39" i="30"/>
  <c r="L39" i="30"/>
  <c r="M39" i="30" s="1"/>
  <c r="N39" i="30" s="1"/>
  <c r="P37" i="30"/>
  <c r="M36" i="30"/>
  <c r="N36" i="30" s="1"/>
  <c r="Q36" i="30" s="1"/>
  <c r="J27" i="30"/>
  <c r="M27" i="30" s="1"/>
  <c r="N27" i="30" s="1"/>
  <c r="K27" i="30"/>
  <c r="L27" i="30"/>
  <c r="M24" i="30"/>
  <c r="N24" i="30" s="1"/>
  <c r="P24" i="30" s="1"/>
  <c r="J15" i="30"/>
  <c r="K15" i="30"/>
  <c r="L15" i="30"/>
  <c r="M15" i="30" s="1"/>
  <c r="N15" i="30" s="1"/>
  <c r="K163" i="30"/>
  <c r="M163" i="30" s="1"/>
  <c r="N163" i="30" s="1"/>
  <c r="K151" i="30"/>
  <c r="K139" i="30"/>
  <c r="K127" i="30"/>
  <c r="K115" i="30"/>
  <c r="M115" i="30" s="1"/>
  <c r="N115" i="30" s="1"/>
  <c r="K103" i="30"/>
  <c r="F7"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H30" i="31"/>
  <c r="H29" i="31"/>
  <c r="H28" i="31"/>
  <c r="H27" i="31"/>
  <c r="H26" i="31"/>
  <c r="H25" i="31"/>
  <c r="H24" i="31"/>
  <c r="H23" i="31"/>
  <c r="H22" i="31"/>
  <c r="H21" i="31"/>
  <c r="H20" i="31"/>
  <c r="AA173" i="32" l="1"/>
  <c r="AB173" i="32"/>
  <c r="U155" i="32"/>
  <c r="V155" i="32"/>
  <c r="Y155" i="32" s="1"/>
  <c r="X155" i="32"/>
  <c r="Z155" i="32" s="1"/>
  <c r="U102" i="32"/>
  <c r="V102" i="32"/>
  <c r="Y102" i="32" s="1"/>
  <c r="X102" i="32"/>
  <c r="Z102" i="32" s="1"/>
  <c r="U100" i="32"/>
  <c r="V100" i="32"/>
  <c r="Y100" i="32" s="1"/>
  <c r="X100" i="32"/>
  <c r="Z100" i="32" s="1"/>
  <c r="U132" i="32"/>
  <c r="V132" i="32"/>
  <c r="Y132" i="32" s="1"/>
  <c r="X132" i="32"/>
  <c r="U19" i="32"/>
  <c r="V19" i="32"/>
  <c r="Y19" i="32" s="1"/>
  <c r="X19" i="32"/>
  <c r="Z19" i="32" s="1"/>
  <c r="U74" i="32"/>
  <c r="V74" i="32"/>
  <c r="Y74" i="32" s="1"/>
  <c r="X74" i="32"/>
  <c r="Z74" i="32" s="1"/>
  <c r="U134" i="32"/>
  <c r="V134" i="32"/>
  <c r="Y134" i="32" s="1"/>
  <c r="X134" i="32"/>
  <c r="Z134" i="32" s="1"/>
  <c r="U71" i="32"/>
  <c r="V71" i="32"/>
  <c r="Y71" i="32" s="1"/>
  <c r="X71" i="32"/>
  <c r="U131" i="32"/>
  <c r="V131" i="32"/>
  <c r="Y131" i="32" s="1"/>
  <c r="X131" i="32"/>
  <c r="Z131" i="32" s="1"/>
  <c r="U28" i="32"/>
  <c r="V28" i="32"/>
  <c r="Y28" i="32" s="1"/>
  <c r="X28" i="32"/>
  <c r="Z28" i="32" s="1"/>
  <c r="U145" i="32"/>
  <c r="V145" i="32"/>
  <c r="Y145" i="32" s="1"/>
  <c r="X145" i="32"/>
  <c r="Z145" i="32" s="1"/>
  <c r="V76" i="32"/>
  <c r="Y76" i="32" s="1"/>
  <c r="X76" i="32"/>
  <c r="U76" i="32"/>
  <c r="U99" i="32"/>
  <c r="V99" i="32"/>
  <c r="Y99" i="32" s="1"/>
  <c r="X99" i="32"/>
  <c r="Z99" i="32" s="1"/>
  <c r="U58" i="32"/>
  <c r="V58" i="32"/>
  <c r="Y58" i="32" s="1"/>
  <c r="X58" i="32"/>
  <c r="Z58" i="32" s="1"/>
  <c r="U17" i="32"/>
  <c r="V17" i="32"/>
  <c r="Y17" i="32" s="1"/>
  <c r="X17" i="32"/>
  <c r="Z17" i="32" s="1"/>
  <c r="U16" i="32"/>
  <c r="V16" i="32"/>
  <c r="Y16" i="32" s="1"/>
  <c r="X16" i="32"/>
  <c r="U72" i="32"/>
  <c r="V72" i="32"/>
  <c r="Y72" i="32" s="1"/>
  <c r="X72" i="32"/>
  <c r="Z72" i="32" s="1"/>
  <c r="N150" i="32"/>
  <c r="W176" i="32"/>
  <c r="N37" i="32"/>
  <c r="X176" i="32"/>
  <c r="U33" i="32"/>
  <c r="V33" i="32"/>
  <c r="Y33" i="32" s="1"/>
  <c r="X33" i="32"/>
  <c r="Z33" i="32" s="1"/>
  <c r="N126" i="32"/>
  <c r="X179" i="32"/>
  <c r="V156" i="32"/>
  <c r="Y156" i="32" s="1"/>
  <c r="U156" i="32"/>
  <c r="X156" i="32"/>
  <c r="Z156" i="32" s="1"/>
  <c r="U42" i="32"/>
  <c r="V42" i="32"/>
  <c r="Y42" i="32" s="1"/>
  <c r="X42" i="32"/>
  <c r="Z42" i="32" s="1"/>
  <c r="U126" i="32"/>
  <c r="V126" i="32"/>
  <c r="Y126" i="32" s="1"/>
  <c r="X126" i="32"/>
  <c r="Z126" i="32" s="1"/>
  <c r="U61" i="32"/>
  <c r="X61" i="32"/>
  <c r="V61" i="32"/>
  <c r="Y61" i="32" s="1"/>
  <c r="V85" i="32"/>
  <c r="Y85" i="32" s="1"/>
  <c r="X85" i="32"/>
  <c r="U85" i="32"/>
  <c r="U39" i="32"/>
  <c r="V39" i="32"/>
  <c r="Y39" i="32" s="1"/>
  <c r="X39" i="32"/>
  <c r="Z39" i="32" s="1"/>
  <c r="U123" i="32"/>
  <c r="V123" i="32"/>
  <c r="Y123" i="32" s="1"/>
  <c r="X123" i="32"/>
  <c r="Z123" i="32" s="1"/>
  <c r="N135" i="32"/>
  <c r="N63" i="32"/>
  <c r="U43" i="32"/>
  <c r="V43" i="32"/>
  <c r="Y43" i="32" s="1"/>
  <c r="X43" i="32"/>
  <c r="Z43" i="32" s="1"/>
  <c r="V67" i="32"/>
  <c r="Y67" i="32" s="1"/>
  <c r="X67" i="32"/>
  <c r="U67" i="32"/>
  <c r="U127" i="32"/>
  <c r="V127" i="32"/>
  <c r="Y127" i="32" s="1"/>
  <c r="X127" i="32"/>
  <c r="Z127" i="32" s="1"/>
  <c r="N80" i="32"/>
  <c r="U117" i="32"/>
  <c r="V117" i="32"/>
  <c r="Y117" i="32" s="1"/>
  <c r="X117" i="32"/>
  <c r="N159" i="32"/>
  <c r="N174" i="32"/>
  <c r="V179" i="32"/>
  <c r="Y179" i="32" s="1"/>
  <c r="N175" i="32"/>
  <c r="V165" i="32"/>
  <c r="Y165" i="32" s="1"/>
  <c r="X165" i="32"/>
  <c r="U165" i="32"/>
  <c r="U15" i="32"/>
  <c r="V15" i="32"/>
  <c r="Y15" i="32" s="1"/>
  <c r="X15" i="32"/>
  <c r="V82" i="32"/>
  <c r="Y82" i="32" s="1"/>
  <c r="X82" i="32"/>
  <c r="U82" i="32"/>
  <c r="W150" i="32"/>
  <c r="U112" i="32"/>
  <c r="V112" i="32"/>
  <c r="Y112" i="32" s="1"/>
  <c r="X112" i="32"/>
  <c r="Z112" i="32" s="1"/>
  <c r="U92" i="32"/>
  <c r="V92" i="32"/>
  <c r="Y92" i="32" s="1"/>
  <c r="X92" i="32"/>
  <c r="Z92" i="32" s="1"/>
  <c r="N111" i="32"/>
  <c r="U106" i="32"/>
  <c r="V106" i="32"/>
  <c r="Y106" i="32" s="1"/>
  <c r="X106" i="32"/>
  <c r="U101" i="32"/>
  <c r="V101" i="32"/>
  <c r="Y101" i="32" s="1"/>
  <c r="X101" i="32"/>
  <c r="Z101" i="32" s="1"/>
  <c r="U96" i="32"/>
  <c r="V96" i="32"/>
  <c r="Y96" i="32" s="1"/>
  <c r="X96" i="32"/>
  <c r="U151" i="32"/>
  <c r="V151" i="32"/>
  <c r="Y151" i="32" s="1"/>
  <c r="X151" i="32"/>
  <c r="Z151" i="32" s="1"/>
  <c r="N61" i="32"/>
  <c r="U98" i="32"/>
  <c r="V98" i="32"/>
  <c r="Y98" i="32" s="1"/>
  <c r="X98" i="32"/>
  <c r="Z98" i="32" s="1"/>
  <c r="U57" i="32"/>
  <c r="V57" i="32"/>
  <c r="Y57" i="32" s="1"/>
  <c r="X57" i="32"/>
  <c r="X175" i="32"/>
  <c r="V176" i="32"/>
  <c r="Y176" i="32" s="1"/>
  <c r="V147" i="32"/>
  <c r="Y147" i="32" s="1"/>
  <c r="U147" i="32"/>
  <c r="X147" i="32"/>
  <c r="Z147" i="32" s="1"/>
  <c r="U121" i="32"/>
  <c r="V121" i="32"/>
  <c r="Y121" i="32" s="1"/>
  <c r="X121" i="32"/>
  <c r="U77" i="32"/>
  <c r="V77" i="32"/>
  <c r="Y77" i="32" s="1"/>
  <c r="X77" i="32"/>
  <c r="Z77" i="32" s="1"/>
  <c r="U95" i="32"/>
  <c r="V95" i="32"/>
  <c r="Y95" i="32" s="1"/>
  <c r="X95" i="32"/>
  <c r="U167" i="32"/>
  <c r="V167" i="32"/>
  <c r="Y167" i="32" s="1"/>
  <c r="X167" i="32"/>
  <c r="Z167" i="32" s="1"/>
  <c r="X168" i="32"/>
  <c r="Z168" i="32" s="1"/>
  <c r="V168" i="32"/>
  <c r="Y168" i="32" s="1"/>
  <c r="U168" i="32"/>
  <c r="U66" i="32"/>
  <c r="V66" i="32"/>
  <c r="Y66" i="32" s="1"/>
  <c r="X66" i="32"/>
  <c r="Z66" i="32" s="1"/>
  <c r="U32" i="32"/>
  <c r="V32" i="32"/>
  <c r="Y32" i="32" s="1"/>
  <c r="X32" i="32"/>
  <c r="U164" i="32"/>
  <c r="X164" i="32"/>
  <c r="V164" i="32"/>
  <c r="Y164" i="32" s="1"/>
  <c r="U63" i="32"/>
  <c r="V63" i="32"/>
  <c r="Y63" i="32" s="1"/>
  <c r="X63" i="32"/>
  <c r="V70" i="32"/>
  <c r="Y70" i="32" s="1"/>
  <c r="X70" i="32"/>
  <c r="U70" i="32"/>
  <c r="U22" i="32"/>
  <c r="V22" i="32"/>
  <c r="Y22" i="32" s="1"/>
  <c r="X22" i="32"/>
  <c r="U41" i="32"/>
  <c r="V41" i="32"/>
  <c r="Y41" i="32" s="1"/>
  <c r="X41" i="32"/>
  <c r="Z41" i="32" s="1"/>
  <c r="U65" i="32"/>
  <c r="V65" i="32"/>
  <c r="Y65" i="32" s="1"/>
  <c r="X65" i="32"/>
  <c r="U125" i="32"/>
  <c r="V125" i="32"/>
  <c r="Y125" i="32" s="1"/>
  <c r="X125" i="32"/>
  <c r="Z125" i="32" s="1"/>
  <c r="U149" i="32"/>
  <c r="V149" i="32"/>
  <c r="Y149" i="32" s="1"/>
  <c r="X149" i="32"/>
  <c r="U36" i="32"/>
  <c r="V36" i="32"/>
  <c r="Y36" i="32" s="1"/>
  <c r="X36" i="32"/>
  <c r="Z36" i="32" s="1"/>
  <c r="U160" i="32"/>
  <c r="V160" i="32"/>
  <c r="Y160" i="32" s="1"/>
  <c r="X160" i="32"/>
  <c r="N30" i="32"/>
  <c r="U38" i="32"/>
  <c r="V38" i="32"/>
  <c r="Y38" i="32" s="1"/>
  <c r="X38" i="32"/>
  <c r="N104" i="32"/>
  <c r="V175" i="32"/>
  <c r="Y175" i="32" s="1"/>
  <c r="X150" i="32"/>
  <c r="U47" i="32"/>
  <c r="V47" i="32"/>
  <c r="Y47" i="32" s="1"/>
  <c r="X47" i="32"/>
  <c r="U35" i="32"/>
  <c r="V35" i="32"/>
  <c r="Y35" i="32" s="1"/>
  <c r="X35" i="32"/>
  <c r="Z35" i="32" s="1"/>
  <c r="U90" i="32"/>
  <c r="X90" i="32"/>
  <c r="Z90" i="32" s="1"/>
  <c r="V90" i="32"/>
  <c r="Y90" i="32" s="1"/>
  <c r="U25" i="32"/>
  <c r="V25" i="32"/>
  <c r="Y25" i="32" s="1"/>
  <c r="X25" i="32"/>
  <c r="U109" i="32"/>
  <c r="V109" i="32"/>
  <c r="Y109" i="32" s="1"/>
  <c r="X109" i="32"/>
  <c r="U177" i="32"/>
  <c r="V177" i="32"/>
  <c r="Y177" i="32" s="1"/>
  <c r="X177" i="32"/>
  <c r="Z177" i="32" s="1"/>
  <c r="U116" i="32"/>
  <c r="V116" i="32"/>
  <c r="Y116" i="32" s="1"/>
  <c r="X116" i="32"/>
  <c r="V141" i="32"/>
  <c r="Y141" i="32" s="1"/>
  <c r="X141" i="32"/>
  <c r="U141" i="32"/>
  <c r="U130" i="32"/>
  <c r="V130" i="32"/>
  <c r="Y130" i="32" s="1"/>
  <c r="X130" i="32"/>
  <c r="AB169" i="32"/>
  <c r="U124" i="32"/>
  <c r="V124" i="32"/>
  <c r="Y124" i="32" s="1"/>
  <c r="X124" i="32"/>
  <c r="U178" i="32"/>
  <c r="V178" i="32"/>
  <c r="Y178" i="32" s="1"/>
  <c r="X178" i="32"/>
  <c r="Z178" i="32" s="1"/>
  <c r="U120" i="32"/>
  <c r="V120" i="32"/>
  <c r="Y120" i="32" s="1"/>
  <c r="X120" i="32"/>
  <c r="Z120" i="32" s="1"/>
  <c r="W144" i="32"/>
  <c r="V162" i="32"/>
  <c r="Y162" i="32" s="1"/>
  <c r="U162" i="32"/>
  <c r="X162" i="32"/>
  <c r="V91" i="32"/>
  <c r="Y91" i="32" s="1"/>
  <c r="U91" i="32"/>
  <c r="X91" i="32"/>
  <c r="U40" i="32"/>
  <c r="V40" i="32"/>
  <c r="Y40" i="32" s="1"/>
  <c r="X40" i="32"/>
  <c r="V62" i="32"/>
  <c r="Y62" i="32" s="1"/>
  <c r="X62" i="32"/>
  <c r="U62" i="32"/>
  <c r="N85" i="32"/>
  <c r="U122" i="32"/>
  <c r="V122" i="32"/>
  <c r="Y122" i="32" s="1"/>
  <c r="X122" i="32"/>
  <c r="Z122" i="32" s="1"/>
  <c r="U81" i="32"/>
  <c r="V81" i="32"/>
  <c r="Y81" i="32" s="1"/>
  <c r="X81" i="32"/>
  <c r="N15" i="32"/>
  <c r="U150" i="32"/>
  <c r="U119" i="32"/>
  <c r="V119" i="32"/>
  <c r="Y119" i="32" s="1"/>
  <c r="X119" i="32"/>
  <c r="Z119" i="32" s="1"/>
  <c r="U56" i="32"/>
  <c r="V56" i="32"/>
  <c r="Y56" i="32" s="1"/>
  <c r="X56" i="32"/>
  <c r="V159" i="32"/>
  <c r="Y159" i="32" s="1"/>
  <c r="X159" i="32"/>
  <c r="U159" i="32"/>
  <c r="U87" i="32"/>
  <c r="V87" i="32"/>
  <c r="Y87" i="32" s="1"/>
  <c r="X87" i="32"/>
  <c r="U46" i="32"/>
  <c r="V46" i="32"/>
  <c r="Y46" i="32" s="1"/>
  <c r="X46" i="32"/>
  <c r="Z46" i="32" s="1"/>
  <c r="U154" i="32"/>
  <c r="V154" i="32"/>
  <c r="Y154" i="32" s="1"/>
  <c r="X154" i="32"/>
  <c r="Z170" i="32"/>
  <c r="U60" i="32"/>
  <c r="V60" i="32"/>
  <c r="Y60" i="32" s="1"/>
  <c r="X60" i="32"/>
  <c r="U146" i="32"/>
  <c r="V146" i="32"/>
  <c r="Y146" i="32" s="1"/>
  <c r="X146" i="32"/>
  <c r="U136" i="32"/>
  <c r="V136" i="32"/>
  <c r="Y136" i="32" s="1"/>
  <c r="X136" i="32"/>
  <c r="U21" i="32"/>
  <c r="V21" i="32"/>
  <c r="Y21" i="32" s="1"/>
  <c r="X21" i="32"/>
  <c r="Z21" i="32" s="1"/>
  <c r="N128" i="32"/>
  <c r="U171" i="32"/>
  <c r="Z171" i="32" s="1"/>
  <c r="N158" i="32"/>
  <c r="U59" i="32"/>
  <c r="V59" i="32"/>
  <c r="Y59" i="32" s="1"/>
  <c r="X59" i="32"/>
  <c r="U143" i="32"/>
  <c r="V143" i="32"/>
  <c r="Y143" i="32" s="1"/>
  <c r="X143" i="32"/>
  <c r="V174" i="32"/>
  <c r="Y174" i="32" s="1"/>
  <c r="X174" i="32"/>
  <c r="U174" i="32"/>
  <c r="U30" i="32"/>
  <c r="V30" i="32"/>
  <c r="Y30" i="32" s="1"/>
  <c r="X30" i="32"/>
  <c r="Z30" i="32" s="1"/>
  <c r="U114" i="32"/>
  <c r="V114" i="32"/>
  <c r="Y114" i="32" s="1"/>
  <c r="X114" i="32"/>
  <c r="U49" i="32"/>
  <c r="V49" i="32"/>
  <c r="Y49" i="32" s="1"/>
  <c r="X49" i="32"/>
  <c r="V73" i="32"/>
  <c r="Y73" i="32" s="1"/>
  <c r="X73" i="32"/>
  <c r="U73" i="32"/>
  <c r="U80" i="32"/>
  <c r="V80" i="32"/>
  <c r="Y80" i="32" s="1"/>
  <c r="X80" i="32"/>
  <c r="Z80" i="32" s="1"/>
  <c r="U140" i="32"/>
  <c r="V140" i="32"/>
  <c r="Y140" i="32" s="1"/>
  <c r="X140" i="32"/>
  <c r="U27" i="32"/>
  <c r="V27" i="32"/>
  <c r="Y27" i="32" s="1"/>
  <c r="X27" i="32"/>
  <c r="V153" i="32"/>
  <c r="Y153" i="32" s="1"/>
  <c r="X153" i="32"/>
  <c r="U153" i="32"/>
  <c r="U64" i="32"/>
  <c r="V64" i="32"/>
  <c r="Y64" i="32" s="1"/>
  <c r="X64" i="32"/>
  <c r="Z64" i="32" s="1"/>
  <c r="U31" i="32"/>
  <c r="V31" i="32"/>
  <c r="Y31" i="32" s="1"/>
  <c r="X31" i="32"/>
  <c r="U115" i="32"/>
  <c r="V115" i="32"/>
  <c r="Y115" i="32" s="1"/>
  <c r="X115" i="32"/>
  <c r="U163" i="32"/>
  <c r="V163" i="32"/>
  <c r="Y163" i="32" s="1"/>
  <c r="X163" i="32"/>
  <c r="Z163" i="32" s="1"/>
  <c r="U86" i="32"/>
  <c r="X86" i="32"/>
  <c r="V86" i="32"/>
  <c r="Y86" i="32" s="1"/>
  <c r="N109" i="32"/>
  <c r="N157" i="32"/>
  <c r="U105" i="32"/>
  <c r="V105" i="32"/>
  <c r="Y105" i="32" s="1"/>
  <c r="X105" i="32"/>
  <c r="Z105" i="32" s="1"/>
  <c r="N152" i="32"/>
  <c r="U144" i="32"/>
  <c r="N176" i="32"/>
  <c r="U18" i="32"/>
  <c r="V18" i="32"/>
  <c r="Y18" i="32" s="1"/>
  <c r="X18" i="32"/>
  <c r="Z18" i="32" s="1"/>
  <c r="U37" i="32"/>
  <c r="V37" i="32"/>
  <c r="Y37" i="32" s="1"/>
  <c r="X37" i="32"/>
  <c r="U152" i="32"/>
  <c r="V152" i="32"/>
  <c r="Y152" i="32" s="1"/>
  <c r="X152" i="32"/>
  <c r="Z152" i="32" s="1"/>
  <c r="U83" i="32"/>
  <c r="V83" i="32"/>
  <c r="Y83" i="32" s="1"/>
  <c r="X83" i="32"/>
  <c r="Z83" i="32" s="1"/>
  <c r="U133" i="32"/>
  <c r="V133" i="32"/>
  <c r="Y133" i="32" s="1"/>
  <c r="X133" i="32"/>
  <c r="Z133" i="32" s="1"/>
  <c r="U157" i="32"/>
  <c r="V157" i="32"/>
  <c r="Y157" i="32" s="1"/>
  <c r="X157" i="32"/>
  <c r="U20" i="32"/>
  <c r="V20" i="32"/>
  <c r="Y20" i="32" s="1"/>
  <c r="X20" i="32"/>
  <c r="Z20" i="32" s="1"/>
  <c r="U111" i="32"/>
  <c r="V111" i="32"/>
  <c r="Y111" i="32" s="1"/>
  <c r="X111" i="32"/>
  <c r="Z111" i="32" s="1"/>
  <c r="U135" i="32"/>
  <c r="V135" i="32"/>
  <c r="Y135" i="32" s="1"/>
  <c r="X135" i="32"/>
  <c r="Z135" i="32" s="1"/>
  <c r="W171" i="32"/>
  <c r="V94" i="32"/>
  <c r="Y94" i="32" s="1"/>
  <c r="U94" i="32"/>
  <c r="X94" i="32"/>
  <c r="U29" i="32"/>
  <c r="V29" i="32"/>
  <c r="Y29" i="32" s="1"/>
  <c r="X29" i="32"/>
  <c r="U89" i="32"/>
  <c r="V89" i="32"/>
  <c r="Y89" i="32" s="1"/>
  <c r="X89" i="32"/>
  <c r="U161" i="32"/>
  <c r="V161" i="32"/>
  <c r="Y161" i="32" s="1"/>
  <c r="X161" i="32"/>
  <c r="U84" i="32"/>
  <c r="V84" i="32"/>
  <c r="Y84" i="32" s="1"/>
  <c r="X84" i="32"/>
  <c r="N78" i="32"/>
  <c r="U26" i="32"/>
  <c r="V26" i="32"/>
  <c r="Y26" i="32" s="1"/>
  <c r="X26" i="32"/>
  <c r="U45" i="32"/>
  <c r="V45" i="32"/>
  <c r="Y45" i="32" s="1"/>
  <c r="X45" i="32"/>
  <c r="X144" i="32"/>
  <c r="U128" i="32"/>
  <c r="X128" i="32"/>
  <c r="Z128" i="32" s="1"/>
  <c r="V128" i="32"/>
  <c r="Y128" i="32" s="1"/>
  <c r="U93" i="32"/>
  <c r="V93" i="32"/>
  <c r="Y93" i="32" s="1"/>
  <c r="X93" i="32"/>
  <c r="Z93" i="32" s="1"/>
  <c r="U23" i="32"/>
  <c r="V23" i="32"/>
  <c r="Y23" i="32" s="1"/>
  <c r="X23" i="32"/>
  <c r="Z23" i="32" s="1"/>
  <c r="U54" i="32"/>
  <c r="V54" i="32"/>
  <c r="Y54" i="32" s="1"/>
  <c r="X54" i="32"/>
  <c r="Z54" i="32" s="1"/>
  <c r="U138" i="32"/>
  <c r="V138" i="32"/>
  <c r="Y138" i="32" s="1"/>
  <c r="X138" i="32"/>
  <c r="U52" i="32"/>
  <c r="X52" i="32"/>
  <c r="V52" i="32"/>
  <c r="Y52" i="32" s="1"/>
  <c r="U51" i="32"/>
  <c r="X51" i="32"/>
  <c r="V51" i="32"/>
  <c r="Y51" i="32" s="1"/>
  <c r="V88" i="32"/>
  <c r="Y88" i="32" s="1"/>
  <c r="X88" i="32"/>
  <c r="U88" i="32"/>
  <c r="U24" i="32"/>
  <c r="V24" i="32"/>
  <c r="Y24" i="32" s="1"/>
  <c r="X24" i="32"/>
  <c r="U55" i="32"/>
  <c r="V55" i="32"/>
  <c r="Y55" i="32" s="1"/>
  <c r="X55" i="32"/>
  <c r="Z55" i="32" s="1"/>
  <c r="V79" i="32"/>
  <c r="Y79" i="32" s="1"/>
  <c r="X79" i="32"/>
  <c r="U79" i="32"/>
  <c r="U139" i="32"/>
  <c r="V139" i="32"/>
  <c r="Y139" i="32" s="1"/>
  <c r="X139" i="32"/>
  <c r="Z139" i="32" s="1"/>
  <c r="N133" i="32"/>
  <c r="U158" i="32"/>
  <c r="V158" i="32"/>
  <c r="Y158" i="32" s="1"/>
  <c r="X158" i="32"/>
  <c r="U129" i="32"/>
  <c r="V129" i="32"/>
  <c r="Y129" i="32" s="1"/>
  <c r="X129" i="32"/>
  <c r="U68" i="32"/>
  <c r="V68" i="32"/>
  <c r="Y68" i="32" s="1"/>
  <c r="X68" i="32"/>
  <c r="V97" i="32"/>
  <c r="Y97" i="32" s="1"/>
  <c r="X97" i="32"/>
  <c r="U97" i="32"/>
  <c r="U104" i="32"/>
  <c r="V104" i="32"/>
  <c r="Y104" i="32" s="1"/>
  <c r="X104" i="32"/>
  <c r="U118" i="32"/>
  <c r="V118" i="32"/>
  <c r="Y118" i="32" s="1"/>
  <c r="X118" i="32"/>
  <c r="U166" i="32"/>
  <c r="V166" i="32"/>
  <c r="Y166" i="32" s="1"/>
  <c r="X166" i="32"/>
  <c r="U113" i="32"/>
  <c r="V113" i="32"/>
  <c r="Y113" i="32" s="1"/>
  <c r="X113" i="32"/>
  <c r="Z113" i="32" s="1"/>
  <c r="U137" i="32"/>
  <c r="V137" i="32"/>
  <c r="Y137" i="32" s="1"/>
  <c r="X137" i="32"/>
  <c r="U148" i="32"/>
  <c r="V148" i="32"/>
  <c r="Y148" i="32" s="1"/>
  <c r="X148" i="32"/>
  <c r="U108" i="32"/>
  <c r="V108" i="32"/>
  <c r="Y108" i="32" s="1"/>
  <c r="X108" i="32"/>
  <c r="N102" i="32"/>
  <c r="U110" i="32"/>
  <c r="V110" i="32"/>
  <c r="Y110" i="32" s="1"/>
  <c r="X110" i="32"/>
  <c r="Z110" i="32" s="1"/>
  <c r="N32" i="32"/>
  <c r="U69" i="32"/>
  <c r="V69" i="32"/>
  <c r="Y69" i="32" s="1"/>
  <c r="X69" i="32"/>
  <c r="Z69" i="32" s="1"/>
  <c r="X172" i="32"/>
  <c r="Z172" i="32" s="1"/>
  <c r="N177" i="32"/>
  <c r="N56" i="32"/>
  <c r="U107" i="32"/>
  <c r="V107" i="32"/>
  <c r="Y107" i="32" s="1"/>
  <c r="X107" i="32"/>
  <c r="Z107" i="32" s="1"/>
  <c r="U78" i="32"/>
  <c r="V78" i="32"/>
  <c r="Y78" i="32" s="1"/>
  <c r="X78" i="32"/>
  <c r="U44" i="32"/>
  <c r="V44" i="32"/>
  <c r="Y44" i="32" s="1"/>
  <c r="X44" i="32"/>
  <c r="Z44" i="32" s="1"/>
  <c r="U75" i="32"/>
  <c r="V75" i="32"/>
  <c r="Y75" i="32" s="1"/>
  <c r="X75" i="32"/>
  <c r="Z75" i="32" s="1"/>
  <c r="U34" i="32"/>
  <c r="V34" i="32"/>
  <c r="Y34" i="32" s="1"/>
  <c r="X34" i="32"/>
  <c r="Z34" i="32" s="1"/>
  <c r="U142" i="32"/>
  <c r="V142" i="32"/>
  <c r="Y142" i="32" s="1"/>
  <c r="X142" i="32"/>
  <c r="U53" i="32"/>
  <c r="X53" i="32"/>
  <c r="V53" i="32"/>
  <c r="Y53" i="32" s="1"/>
  <c r="U48" i="32"/>
  <c r="V48" i="32"/>
  <c r="Y48" i="32" s="1"/>
  <c r="X48" i="32"/>
  <c r="Z48" i="32" s="1"/>
  <c r="U103" i="32"/>
  <c r="V103" i="32"/>
  <c r="Y103" i="32" s="1"/>
  <c r="X103" i="32"/>
  <c r="Z103" i="32" s="1"/>
  <c r="U50" i="32"/>
  <c r="X50" i="32"/>
  <c r="Z50" i="32" s="1"/>
  <c r="V50" i="32"/>
  <c r="Y50" i="32" s="1"/>
  <c r="V171" i="32"/>
  <c r="Y171" i="32" s="1"/>
  <c r="Q57" i="3"/>
  <c r="R57" i="3"/>
  <c r="S57" i="3"/>
  <c r="AD157" i="3"/>
  <c r="AF157" i="3"/>
  <c r="AF159" i="3"/>
  <c r="Q25" i="3"/>
  <c r="R25" i="3"/>
  <c r="AF12" i="3"/>
  <c r="Q63" i="3"/>
  <c r="R63" i="3"/>
  <c r="S63" i="3"/>
  <c r="Q65" i="3"/>
  <c r="R65" i="3"/>
  <c r="Q68" i="3"/>
  <c r="R68" i="3"/>
  <c r="Q108" i="3"/>
  <c r="R108" i="3"/>
  <c r="S108" i="3"/>
  <c r="R81" i="3"/>
  <c r="Q81" i="3"/>
  <c r="S81" i="3"/>
  <c r="Q142" i="3"/>
  <c r="R142" i="3"/>
  <c r="Q163" i="3"/>
  <c r="R163" i="3"/>
  <c r="Q162" i="3"/>
  <c r="R162" i="3"/>
  <c r="S162" i="3"/>
  <c r="AE63" i="3"/>
  <c r="AD72" i="3"/>
  <c r="AF72" i="3"/>
  <c r="AE11" i="3"/>
  <c r="AE47" i="3"/>
  <c r="AE159" i="3"/>
  <c r="Q153" i="3"/>
  <c r="R153" i="3"/>
  <c r="Q158" i="3"/>
  <c r="R158" i="3"/>
  <c r="Q92" i="3"/>
  <c r="R92" i="3"/>
  <c r="S92" i="3"/>
  <c r="AD98" i="3"/>
  <c r="AF98" i="3"/>
  <c r="AD107" i="3"/>
  <c r="AF107" i="3"/>
  <c r="AE97" i="3"/>
  <c r="AE133" i="3"/>
  <c r="AE169" i="3"/>
  <c r="Q28" i="3"/>
  <c r="R28" i="3"/>
  <c r="S28" i="3"/>
  <c r="AD45" i="3"/>
  <c r="AF45" i="3"/>
  <c r="Q32" i="3"/>
  <c r="R32" i="3"/>
  <c r="S32" i="3"/>
  <c r="R43" i="3"/>
  <c r="Q43" i="3"/>
  <c r="Q69" i="3"/>
  <c r="R69" i="3"/>
  <c r="AF77" i="3"/>
  <c r="S69" i="3"/>
  <c r="Q72" i="3"/>
  <c r="R72" i="3"/>
  <c r="Q112" i="3"/>
  <c r="R112" i="3"/>
  <c r="S112" i="3"/>
  <c r="AD23" i="3"/>
  <c r="AF23" i="3"/>
  <c r="R113" i="3"/>
  <c r="Q113" i="3"/>
  <c r="R121" i="3"/>
  <c r="Q121" i="3"/>
  <c r="Q49" i="3"/>
  <c r="R49" i="3"/>
  <c r="AD19" i="3"/>
  <c r="AF19" i="3"/>
  <c r="AD48" i="3"/>
  <c r="AF48" i="3"/>
  <c r="AE14" i="3"/>
  <c r="AE50" i="3"/>
  <c r="R50" i="3"/>
  <c r="Q50" i="3"/>
  <c r="S50" i="3"/>
  <c r="AD169" i="3"/>
  <c r="AF169" i="3"/>
  <c r="AE123" i="3"/>
  <c r="Q141" i="3"/>
  <c r="R141" i="3"/>
  <c r="AD90" i="3"/>
  <c r="AF90" i="3"/>
  <c r="AD117" i="3"/>
  <c r="AF117" i="3"/>
  <c r="AD162" i="3"/>
  <c r="AF162" i="3"/>
  <c r="Q154" i="3"/>
  <c r="R154" i="3"/>
  <c r="AF168" i="3"/>
  <c r="AE100" i="3"/>
  <c r="AE136" i="3"/>
  <c r="AE172" i="3"/>
  <c r="Q88" i="3"/>
  <c r="R88" i="3"/>
  <c r="S88" i="3"/>
  <c r="R157" i="3"/>
  <c r="Q157" i="3"/>
  <c r="S157" i="3"/>
  <c r="AD118" i="3"/>
  <c r="AF118" i="3"/>
  <c r="AD132" i="3"/>
  <c r="AF132" i="3"/>
  <c r="AD68" i="3"/>
  <c r="AF68" i="3"/>
  <c r="Q29" i="3"/>
  <c r="R29" i="3"/>
  <c r="S25" i="3"/>
  <c r="Q67" i="3"/>
  <c r="R67" i="3"/>
  <c r="Q27" i="3"/>
  <c r="R27" i="3"/>
  <c r="Q73" i="3"/>
  <c r="R73" i="3"/>
  <c r="Q127" i="3"/>
  <c r="R127" i="3"/>
  <c r="Q86" i="3"/>
  <c r="R86" i="3"/>
  <c r="R51" i="3"/>
  <c r="Q51" i="3"/>
  <c r="R83" i="3"/>
  <c r="Q83" i="3"/>
  <c r="S83" i="3"/>
  <c r="R110" i="3"/>
  <c r="Q110" i="3"/>
  <c r="Q115" i="3"/>
  <c r="R115" i="3"/>
  <c r="AD35" i="3"/>
  <c r="AF35" i="3"/>
  <c r="AE43" i="3"/>
  <c r="Q167" i="3"/>
  <c r="R167" i="3"/>
  <c r="Q166" i="3"/>
  <c r="R166" i="3"/>
  <c r="S166" i="3"/>
  <c r="AE33" i="3"/>
  <c r="AE69" i="3"/>
  <c r="Q140" i="3"/>
  <c r="R140" i="3"/>
  <c r="S140" i="3"/>
  <c r="AE17" i="3"/>
  <c r="AE53" i="3"/>
  <c r="R56" i="3"/>
  <c r="Q56" i="3"/>
  <c r="S56" i="3"/>
  <c r="R120" i="3"/>
  <c r="Q120" i="3"/>
  <c r="S120" i="3"/>
  <c r="AE90" i="3"/>
  <c r="AE126" i="3"/>
  <c r="AD99" i="3"/>
  <c r="AF99" i="3"/>
  <c r="AD135" i="3"/>
  <c r="AF135" i="3"/>
  <c r="AE95" i="3"/>
  <c r="AA62" i="3"/>
  <c r="AA71" i="3"/>
  <c r="AA80" i="3"/>
  <c r="AD128" i="3"/>
  <c r="AF128" i="3"/>
  <c r="AE103" i="3"/>
  <c r="AE139" i="3"/>
  <c r="Q34" i="3"/>
  <c r="R34" i="3"/>
  <c r="Q61" i="3"/>
  <c r="R61" i="3"/>
  <c r="R151" i="3"/>
  <c r="Q151" i="3"/>
  <c r="AD123" i="3"/>
  <c r="AF123" i="3"/>
  <c r="Q149" i="3"/>
  <c r="R149" i="3"/>
  <c r="Q33" i="3"/>
  <c r="R33" i="3"/>
  <c r="Q12" i="3"/>
  <c r="R12" i="3"/>
  <c r="S12" i="3"/>
  <c r="Q36" i="3"/>
  <c r="R36" i="3"/>
  <c r="S36" i="3"/>
  <c r="Q76" i="3"/>
  <c r="R76" i="3"/>
  <c r="S61" i="3"/>
  <c r="Q111" i="3"/>
  <c r="R111" i="3"/>
  <c r="S111" i="3"/>
  <c r="R58" i="3"/>
  <c r="Q58" i="3"/>
  <c r="Q128" i="3"/>
  <c r="R128" i="3"/>
  <c r="S128" i="3"/>
  <c r="R122" i="3"/>
  <c r="Q122" i="3"/>
  <c r="S122" i="3"/>
  <c r="AD39" i="3"/>
  <c r="AF39" i="3"/>
  <c r="AD75" i="3"/>
  <c r="AF75" i="3"/>
  <c r="AE56" i="3"/>
  <c r="AD121" i="3"/>
  <c r="AF121" i="3"/>
  <c r="AD148" i="3"/>
  <c r="AF148" i="3"/>
  <c r="AE168" i="3"/>
  <c r="Q164" i="3"/>
  <c r="R164" i="3"/>
  <c r="Q168" i="3"/>
  <c r="R168" i="3"/>
  <c r="R74" i="3"/>
  <c r="S74" i="3"/>
  <c r="Q74" i="3"/>
  <c r="S115" i="3"/>
  <c r="AD110" i="3"/>
  <c r="AF110" i="3"/>
  <c r="AE70" i="3"/>
  <c r="AE106" i="3"/>
  <c r="AE142" i="3"/>
  <c r="S151" i="3"/>
  <c r="Q97" i="3"/>
  <c r="R97" i="3"/>
  <c r="S97" i="3"/>
  <c r="R119" i="3"/>
  <c r="Q119" i="3"/>
  <c r="AD136" i="3"/>
  <c r="AF136" i="3"/>
  <c r="R123" i="3"/>
  <c r="S123" i="3"/>
  <c r="Q123" i="3"/>
  <c r="AD59" i="3"/>
  <c r="AF59" i="3"/>
  <c r="Q10" i="3"/>
  <c r="R10" i="3"/>
  <c r="Q15" i="3"/>
  <c r="R15" i="3"/>
  <c r="Q37" i="3"/>
  <c r="R37" i="3"/>
  <c r="Q19" i="3"/>
  <c r="R19" i="3"/>
  <c r="Q71" i="3"/>
  <c r="R71" i="3"/>
  <c r="S71" i="3"/>
  <c r="Q44" i="3"/>
  <c r="R44" i="3"/>
  <c r="R79" i="3"/>
  <c r="Q79" i="3"/>
  <c r="R46" i="3"/>
  <c r="Q46" i="3"/>
  <c r="R89" i="3"/>
  <c r="Q89" i="3"/>
  <c r="S89" i="3"/>
  <c r="R78" i="3"/>
  <c r="Q78" i="3"/>
  <c r="S78" i="3"/>
  <c r="Q131" i="3"/>
  <c r="R131" i="3"/>
  <c r="S131" i="3"/>
  <c r="AF116" i="3"/>
  <c r="S121" i="3"/>
  <c r="Q171" i="3"/>
  <c r="R171" i="3"/>
  <c r="Q170" i="3"/>
  <c r="R170" i="3"/>
  <c r="S170" i="3"/>
  <c r="R161" i="3"/>
  <c r="Q161" i="3"/>
  <c r="AE23" i="3"/>
  <c r="AE59" i="3"/>
  <c r="AD64" i="3"/>
  <c r="AF64" i="3"/>
  <c r="AD94" i="3"/>
  <c r="AF94" i="3"/>
  <c r="Q160" i="3"/>
  <c r="R160" i="3"/>
  <c r="AE132" i="3"/>
  <c r="AD144" i="3"/>
  <c r="AF144" i="3"/>
  <c r="AD165" i="3"/>
  <c r="AF165" i="3"/>
  <c r="AD174" i="3"/>
  <c r="AF174" i="3"/>
  <c r="AD170" i="3"/>
  <c r="AF170" i="3"/>
  <c r="AE73" i="3"/>
  <c r="AE109" i="3"/>
  <c r="AE145" i="3"/>
  <c r="AF151" i="3"/>
  <c r="Q14" i="3"/>
  <c r="R14" i="3"/>
  <c r="Q16" i="3"/>
  <c r="R16" i="3"/>
  <c r="S16" i="3"/>
  <c r="R75" i="3"/>
  <c r="Q75" i="3"/>
  <c r="S75" i="3"/>
  <c r="Q91" i="3"/>
  <c r="R91" i="3"/>
  <c r="Q95" i="3"/>
  <c r="R95" i="3"/>
  <c r="Q103" i="3"/>
  <c r="R103" i="3"/>
  <c r="S76" i="3"/>
  <c r="Q125" i="3"/>
  <c r="R125" i="3"/>
  <c r="AD50" i="3"/>
  <c r="AF50" i="3"/>
  <c r="Q144" i="3"/>
  <c r="R144" i="3"/>
  <c r="S144" i="3"/>
  <c r="R165" i="3"/>
  <c r="Q165" i="3"/>
  <c r="AE26" i="3"/>
  <c r="Q62" i="3"/>
  <c r="R62" i="3"/>
  <c r="S62" i="3"/>
  <c r="R84" i="3"/>
  <c r="Q84" i="3"/>
  <c r="S141" i="3"/>
  <c r="AD102" i="3"/>
  <c r="AF102" i="3"/>
  <c r="AF67" i="3"/>
  <c r="Q77" i="3"/>
  <c r="R77" i="3"/>
  <c r="S77" i="3"/>
  <c r="Q101" i="3"/>
  <c r="R101" i="3"/>
  <c r="S101" i="3"/>
  <c r="R155" i="3"/>
  <c r="Q155" i="3"/>
  <c r="AA74" i="3"/>
  <c r="AD131" i="3"/>
  <c r="AF131" i="3"/>
  <c r="AF158" i="3"/>
  <c r="AD158" i="3"/>
  <c r="AE76" i="3"/>
  <c r="AE112" i="3"/>
  <c r="AE148" i="3"/>
  <c r="Q109" i="3"/>
  <c r="R109" i="3"/>
  <c r="S109" i="3"/>
  <c r="S163" i="3"/>
  <c r="Q38" i="3"/>
  <c r="R38" i="3"/>
  <c r="Q18" i="3"/>
  <c r="R18" i="3"/>
  <c r="S13" i="3"/>
  <c r="Q13" i="3"/>
  <c r="R13" i="3"/>
  <c r="Q31" i="3"/>
  <c r="R31" i="3"/>
  <c r="Q35" i="3"/>
  <c r="R35" i="3"/>
  <c r="S35" i="3"/>
  <c r="R55" i="3"/>
  <c r="Q55" i="3"/>
  <c r="R48" i="3"/>
  <c r="Q48" i="3"/>
  <c r="S48" i="3"/>
  <c r="Q135" i="3"/>
  <c r="R135" i="3"/>
  <c r="S135" i="3"/>
  <c r="AF109" i="3"/>
  <c r="Q129" i="3"/>
  <c r="R129" i="3"/>
  <c r="AA29" i="3"/>
  <c r="Q124" i="3"/>
  <c r="R124" i="3"/>
  <c r="S124" i="3"/>
  <c r="AE19" i="3"/>
  <c r="S142" i="3"/>
  <c r="Q174" i="3"/>
  <c r="R174" i="3"/>
  <c r="S174" i="3"/>
  <c r="AE45" i="3"/>
  <c r="Q146" i="3"/>
  <c r="R146" i="3"/>
  <c r="AD42" i="3"/>
  <c r="AF42" i="3"/>
  <c r="Q159" i="3"/>
  <c r="R159" i="3"/>
  <c r="AD111" i="3"/>
  <c r="AF111" i="3"/>
  <c r="AA65" i="3"/>
  <c r="AD83" i="3"/>
  <c r="AF83" i="3"/>
  <c r="AD140" i="3"/>
  <c r="AF140" i="3"/>
  <c r="AD161" i="3"/>
  <c r="AF161" i="3"/>
  <c r="AE79" i="3"/>
  <c r="AE115" i="3"/>
  <c r="Q22" i="3"/>
  <c r="R22" i="3"/>
  <c r="S10" i="3"/>
  <c r="Q20" i="3"/>
  <c r="R20" i="3"/>
  <c r="S20" i="3"/>
  <c r="Q11" i="3"/>
  <c r="R11" i="3"/>
  <c r="Q39" i="3"/>
  <c r="R39" i="3"/>
  <c r="S39" i="3"/>
  <c r="S44" i="3"/>
  <c r="Q90" i="3"/>
  <c r="R90" i="3"/>
  <c r="Q53" i="3"/>
  <c r="R53" i="3"/>
  <c r="S53" i="3"/>
  <c r="Q96" i="3"/>
  <c r="R96" i="3"/>
  <c r="S96" i="3"/>
  <c r="Q126" i="3"/>
  <c r="R126" i="3"/>
  <c r="R87" i="3"/>
  <c r="Q87" i="3"/>
  <c r="Q133" i="3"/>
  <c r="R133" i="3"/>
  <c r="Q136" i="3"/>
  <c r="R136" i="3"/>
  <c r="S136" i="3"/>
  <c r="Q152" i="3"/>
  <c r="R152" i="3"/>
  <c r="S152" i="3"/>
  <c r="AE12" i="3"/>
  <c r="AE48" i="3"/>
  <c r="R169" i="3"/>
  <c r="Q169" i="3"/>
  <c r="AD51" i="3"/>
  <c r="AF51" i="3"/>
  <c r="AE32" i="3"/>
  <c r="AE68" i="3"/>
  <c r="AD76" i="3"/>
  <c r="AF76" i="3"/>
  <c r="AD106" i="3"/>
  <c r="AF106" i="3"/>
  <c r="AD124" i="3"/>
  <c r="AF124" i="3"/>
  <c r="AE105" i="3"/>
  <c r="Q93" i="3"/>
  <c r="R93" i="3"/>
  <c r="S93" i="3"/>
  <c r="AF103" i="3"/>
  <c r="S67" i="3"/>
  <c r="S169" i="3"/>
  <c r="AF172" i="3"/>
  <c r="AD122" i="3"/>
  <c r="AF122" i="3"/>
  <c r="S31" i="3"/>
  <c r="AE82" i="3"/>
  <c r="AE118" i="3"/>
  <c r="AE154" i="3"/>
  <c r="R118" i="3"/>
  <c r="Q118" i="3"/>
  <c r="Q104" i="3"/>
  <c r="R104" i="3"/>
  <c r="S104" i="3"/>
  <c r="S17" i="3"/>
  <c r="Q17" i="3"/>
  <c r="R17" i="3"/>
  <c r="S14" i="3"/>
  <c r="Q41" i="3"/>
  <c r="R41" i="3"/>
  <c r="Q23" i="3"/>
  <c r="R23" i="3"/>
  <c r="S65" i="3"/>
  <c r="R52" i="3"/>
  <c r="Q52" i="3"/>
  <c r="R80" i="3"/>
  <c r="Q80" i="3"/>
  <c r="Q94" i="3"/>
  <c r="R94" i="3"/>
  <c r="Q64" i="3"/>
  <c r="R64" i="3"/>
  <c r="Q99" i="3"/>
  <c r="R99" i="3"/>
  <c r="Q139" i="3"/>
  <c r="R139" i="3"/>
  <c r="Q130" i="3"/>
  <c r="R130" i="3"/>
  <c r="Q137" i="3"/>
  <c r="R137" i="3"/>
  <c r="AA20" i="3"/>
  <c r="S130" i="3"/>
  <c r="AE25" i="3"/>
  <c r="R54" i="3"/>
  <c r="Q54" i="3"/>
  <c r="S54" i="3"/>
  <c r="AD60" i="3"/>
  <c r="AF60" i="3"/>
  <c r="AE35" i="3"/>
  <c r="Q132" i="3"/>
  <c r="R132" i="3"/>
  <c r="S132" i="3"/>
  <c r="AE72" i="3"/>
  <c r="AE108" i="3"/>
  <c r="S43" i="3"/>
  <c r="S168" i="3"/>
  <c r="AD87" i="3"/>
  <c r="AF87" i="3"/>
  <c r="AD147" i="3"/>
  <c r="AF147" i="3"/>
  <c r="AD156" i="3"/>
  <c r="AF156" i="3"/>
  <c r="AE77" i="3"/>
  <c r="AE149" i="3"/>
  <c r="Q172" i="3"/>
  <c r="R172" i="3"/>
  <c r="AE85" i="3"/>
  <c r="AE121" i="3"/>
  <c r="AE157" i="3"/>
  <c r="Q70" i="3"/>
  <c r="R70" i="3"/>
  <c r="S70" i="3"/>
  <c r="Q150" i="3"/>
  <c r="R150" i="3"/>
  <c r="Q24" i="3"/>
  <c r="R24" i="3"/>
  <c r="R42" i="3"/>
  <c r="Q42" i="3"/>
  <c r="S33" i="3"/>
  <c r="Q98" i="3"/>
  <c r="R98" i="3"/>
  <c r="S38" i="3"/>
  <c r="Q100" i="3"/>
  <c r="R100" i="3"/>
  <c r="S100" i="3"/>
  <c r="Q107" i="3"/>
  <c r="R107" i="3"/>
  <c r="R85" i="3"/>
  <c r="Q85" i="3"/>
  <c r="Q143" i="3"/>
  <c r="R143" i="3"/>
  <c r="S143" i="3"/>
  <c r="R106" i="3"/>
  <c r="Q106" i="3"/>
  <c r="Q134" i="3"/>
  <c r="R134" i="3"/>
  <c r="R117" i="3"/>
  <c r="Q117" i="3"/>
  <c r="Q66" i="3"/>
  <c r="R66" i="3"/>
  <c r="S66" i="3"/>
  <c r="S167" i="3"/>
  <c r="R173" i="3"/>
  <c r="Q173" i="3"/>
  <c r="AE38" i="3"/>
  <c r="AD166" i="3"/>
  <c r="AF166" i="3"/>
  <c r="AF91" i="3"/>
  <c r="AE75" i="3"/>
  <c r="S55" i="3"/>
  <c r="Q105" i="3"/>
  <c r="R105" i="3"/>
  <c r="S105" i="3"/>
  <c r="S79" i="3"/>
  <c r="AF43" i="3"/>
  <c r="AD114" i="3"/>
  <c r="AF114" i="3"/>
  <c r="S103" i="3"/>
  <c r="AE116" i="3"/>
  <c r="AF127" i="3"/>
  <c r="AD95" i="3"/>
  <c r="AF95" i="3"/>
  <c r="AD143" i="3"/>
  <c r="AF143" i="3"/>
  <c r="AD152" i="3"/>
  <c r="AF152" i="3"/>
  <c r="AE88" i="3"/>
  <c r="AE124" i="3"/>
  <c r="AE160" i="3"/>
  <c r="AD63" i="3"/>
  <c r="AF63" i="3"/>
  <c r="Q26" i="3"/>
  <c r="R26" i="3"/>
  <c r="Q30" i="3"/>
  <c r="R30" i="3"/>
  <c r="Q21" i="3"/>
  <c r="R21" i="3"/>
  <c r="S22" i="3"/>
  <c r="Q59" i="3"/>
  <c r="R59" i="3"/>
  <c r="S59" i="3"/>
  <c r="Q40" i="3"/>
  <c r="R40" i="3"/>
  <c r="S40" i="3"/>
  <c r="R45" i="3"/>
  <c r="Q45" i="3"/>
  <c r="Q102" i="3"/>
  <c r="R102" i="3"/>
  <c r="Q60" i="3"/>
  <c r="R60" i="3"/>
  <c r="S119" i="3"/>
  <c r="R147" i="3"/>
  <c r="Q147" i="3"/>
  <c r="S147" i="3"/>
  <c r="Q138" i="3"/>
  <c r="R138" i="3"/>
  <c r="AF100" i="3"/>
  <c r="R114" i="3"/>
  <c r="Q114" i="3"/>
  <c r="Q145" i="3"/>
  <c r="R145" i="3"/>
  <c r="Q148" i="3"/>
  <c r="R148" i="3"/>
  <c r="AE21" i="3"/>
  <c r="AE57" i="3"/>
  <c r="S146" i="3"/>
  <c r="S171" i="3"/>
  <c r="AD27" i="3"/>
  <c r="AF27" i="3"/>
  <c r="R116" i="3"/>
  <c r="Q116" i="3"/>
  <c r="AE41" i="3"/>
  <c r="R47" i="3"/>
  <c r="Q47" i="3"/>
  <c r="AD154" i="3"/>
  <c r="AF154" i="3"/>
  <c r="AE78" i="3"/>
  <c r="AE114" i="3"/>
  <c r="AE153" i="3"/>
  <c r="AF79" i="3"/>
  <c r="AE83" i="3"/>
  <c r="AE155" i="3"/>
  <c r="AF126" i="3"/>
  <c r="AD86" i="3"/>
  <c r="AF86" i="3"/>
  <c r="AE91" i="3"/>
  <c r="AE127" i="3"/>
  <c r="AE163" i="3"/>
  <c r="R82" i="3"/>
  <c r="Q82" i="3"/>
  <c r="S82" i="3"/>
  <c r="AE144" i="3"/>
  <c r="R45" i="30"/>
  <c r="S45" i="30"/>
  <c r="T45" i="30"/>
  <c r="R40" i="30"/>
  <c r="S40" i="30"/>
  <c r="T40" i="30"/>
  <c r="Q173" i="30"/>
  <c r="P173" i="30"/>
  <c r="R24" i="30"/>
  <c r="S24" i="30"/>
  <c r="T24" i="30"/>
  <c r="Q151" i="30"/>
  <c r="P151" i="30"/>
  <c r="R91" i="30"/>
  <c r="S91" i="30"/>
  <c r="T91" i="30"/>
  <c r="Q65" i="30"/>
  <c r="P65" i="30"/>
  <c r="P148" i="30"/>
  <c r="Q148" i="30"/>
  <c r="R76" i="30"/>
  <c r="S76" i="30"/>
  <c r="T76" i="30"/>
  <c r="Q146" i="30"/>
  <c r="P146" i="30"/>
  <c r="R30" i="30"/>
  <c r="S30" i="30"/>
  <c r="T30" i="30"/>
  <c r="P51" i="30"/>
  <c r="Q51" i="30"/>
  <c r="Q147" i="30"/>
  <c r="P147" i="30"/>
  <c r="Q162" i="30"/>
  <c r="P162" i="30"/>
  <c r="R67" i="30"/>
  <c r="S67" i="30"/>
  <c r="T67" i="30"/>
  <c r="Q161" i="30"/>
  <c r="P161" i="30"/>
  <c r="Q160" i="30"/>
  <c r="P160" i="30"/>
  <c r="R83" i="30"/>
  <c r="S83" i="30"/>
  <c r="T83" i="30"/>
  <c r="R90" i="30"/>
  <c r="S90" i="30"/>
  <c r="T90" i="30"/>
  <c r="P133" i="30"/>
  <c r="Q133" i="30"/>
  <c r="Q154" i="30"/>
  <c r="P154" i="30"/>
  <c r="R139" i="30"/>
  <c r="S139" i="30"/>
  <c r="T139" i="30"/>
  <c r="Q75" i="30"/>
  <c r="P75" i="30"/>
  <c r="Q87" i="30"/>
  <c r="P87" i="30"/>
  <c r="R43" i="30"/>
  <c r="S43" i="30"/>
  <c r="T43" i="30"/>
  <c r="P98" i="30"/>
  <c r="Q98" i="30"/>
  <c r="Q41" i="30"/>
  <c r="P41" i="30"/>
  <c r="R74" i="30"/>
  <c r="S74" i="30"/>
  <c r="T74" i="30"/>
  <c r="R21" i="30"/>
  <c r="S21" i="30"/>
  <c r="T21" i="30"/>
  <c r="R16" i="30"/>
  <c r="S16" i="30"/>
  <c r="T16" i="30"/>
  <c r="Q131" i="30"/>
  <c r="P131" i="30"/>
  <c r="Q109" i="30"/>
  <c r="P109" i="30"/>
  <c r="R38" i="30"/>
  <c r="S38" i="30"/>
  <c r="T38" i="30"/>
  <c r="P27" i="30"/>
  <c r="Q27" i="30"/>
  <c r="P100" i="30"/>
  <c r="Q100" i="30"/>
  <c r="R19" i="30"/>
  <c r="S19" i="30"/>
  <c r="T19" i="30"/>
  <c r="Q113" i="30"/>
  <c r="P113" i="30"/>
  <c r="R57" i="30"/>
  <c r="S57" i="30"/>
  <c r="T57" i="30"/>
  <c r="R52" i="30"/>
  <c r="S52" i="30"/>
  <c r="T52" i="30"/>
  <c r="P159" i="30"/>
  <c r="Q159" i="30"/>
  <c r="P165" i="30"/>
  <c r="Q165" i="30"/>
  <c r="Q115" i="30"/>
  <c r="P115" i="30"/>
  <c r="Q63" i="30"/>
  <c r="P63" i="30"/>
  <c r="Q94" i="30"/>
  <c r="P94" i="30"/>
  <c r="Q17" i="30"/>
  <c r="P17" i="30"/>
  <c r="R50" i="30"/>
  <c r="S50" i="30"/>
  <c r="T50" i="30"/>
  <c r="P155" i="30"/>
  <c r="Q155" i="30"/>
  <c r="P166" i="30"/>
  <c r="Q166" i="30"/>
  <c r="P121" i="30"/>
  <c r="Q121" i="30"/>
  <c r="R141" i="30"/>
  <c r="S141" i="30"/>
  <c r="T141" i="30"/>
  <c r="R150" i="30"/>
  <c r="S150" i="30"/>
  <c r="T150" i="30"/>
  <c r="P123" i="30"/>
  <c r="Q123" i="30"/>
  <c r="P114" i="30"/>
  <c r="Q114" i="30"/>
  <c r="Q70" i="30"/>
  <c r="P70" i="30"/>
  <c r="P77" i="30"/>
  <c r="Q77" i="30"/>
  <c r="R93" i="30"/>
  <c r="S93" i="30"/>
  <c r="T93" i="30"/>
  <c r="R88" i="30"/>
  <c r="S88" i="30"/>
  <c r="T88" i="30"/>
  <c r="R59" i="30"/>
  <c r="S59" i="30"/>
  <c r="T59" i="30"/>
  <c r="R95" i="30"/>
  <c r="T95" i="30"/>
  <c r="S95" i="30"/>
  <c r="R102" i="30"/>
  <c r="S102" i="30"/>
  <c r="T102" i="30"/>
  <c r="P157" i="30"/>
  <c r="Q157" i="30"/>
  <c r="P176" i="30"/>
  <c r="Q176" i="30"/>
  <c r="R156" i="30"/>
  <c r="S156" i="30"/>
  <c r="T156" i="30"/>
  <c r="R96" i="30"/>
  <c r="T96" i="30"/>
  <c r="S96" i="30"/>
  <c r="Q39" i="30"/>
  <c r="P39" i="30"/>
  <c r="Q46" i="30"/>
  <c r="P46" i="30"/>
  <c r="Q125" i="30"/>
  <c r="P125" i="30"/>
  <c r="R26" i="30"/>
  <c r="S26" i="30"/>
  <c r="T26" i="30"/>
  <c r="R33" i="30"/>
  <c r="S33" i="30"/>
  <c r="T33" i="30"/>
  <c r="Q108" i="30"/>
  <c r="P108" i="30"/>
  <c r="R28" i="30"/>
  <c r="S28" i="30"/>
  <c r="T28" i="30"/>
  <c r="P105" i="30"/>
  <c r="Q105" i="30"/>
  <c r="P149" i="30"/>
  <c r="Q149" i="30"/>
  <c r="R72" i="30"/>
  <c r="S72" i="30"/>
  <c r="T72" i="30"/>
  <c r="P99" i="30"/>
  <c r="Q99" i="30"/>
  <c r="Q22" i="30"/>
  <c r="P22" i="30"/>
  <c r="P106" i="30"/>
  <c r="Q106" i="30"/>
  <c r="Q126" i="30"/>
  <c r="P126" i="30"/>
  <c r="P53" i="30"/>
  <c r="Q53" i="30"/>
  <c r="R86" i="30"/>
  <c r="S86" i="30"/>
  <c r="T86" i="30"/>
  <c r="Q112" i="30"/>
  <c r="P112" i="30"/>
  <c r="R78" i="30"/>
  <c r="S78" i="30"/>
  <c r="T78" i="30"/>
  <c r="P140" i="30"/>
  <c r="Q140" i="30"/>
  <c r="P34" i="30"/>
  <c r="Q34" i="30"/>
  <c r="Q163" i="30"/>
  <c r="P163" i="30"/>
  <c r="Q127" i="30"/>
  <c r="P127" i="30"/>
  <c r="Q137" i="30"/>
  <c r="P137" i="30"/>
  <c r="R69" i="30"/>
  <c r="S69" i="30"/>
  <c r="T69" i="30"/>
  <c r="R64" i="30"/>
  <c r="S64" i="30"/>
  <c r="T64" i="30"/>
  <c r="P110" i="30"/>
  <c r="Q110" i="30"/>
  <c r="Q132" i="30"/>
  <c r="P132" i="30"/>
  <c r="Q130" i="30"/>
  <c r="P130" i="30"/>
  <c r="Q15" i="30"/>
  <c r="P15" i="30"/>
  <c r="R48" i="30"/>
  <c r="S48" i="30"/>
  <c r="T48" i="30"/>
  <c r="Q138" i="30"/>
  <c r="P138" i="30"/>
  <c r="P82" i="30"/>
  <c r="Q82" i="30"/>
  <c r="P29" i="30"/>
  <c r="Q29" i="30"/>
  <c r="R62" i="30"/>
  <c r="S62" i="30"/>
  <c r="T62" i="30"/>
  <c r="P89" i="30"/>
  <c r="Q89" i="30"/>
  <c r="P124" i="30"/>
  <c r="Q124" i="30"/>
  <c r="R35" i="30"/>
  <c r="S35" i="30"/>
  <c r="T35" i="30"/>
  <c r="R54" i="30"/>
  <c r="S54" i="30"/>
  <c r="T54" i="30"/>
  <c r="P111" i="30"/>
  <c r="Q111" i="30"/>
  <c r="P58" i="30"/>
  <c r="Q58" i="30"/>
  <c r="P136" i="30"/>
  <c r="Q136" i="30"/>
  <c r="Q135" i="30"/>
  <c r="P135" i="30"/>
  <c r="Q122" i="30"/>
  <c r="P122" i="30"/>
  <c r="Q107" i="30"/>
  <c r="P107" i="30"/>
  <c r="Q172" i="30"/>
  <c r="P172" i="30"/>
  <c r="R170" i="30"/>
  <c r="S170" i="30"/>
  <c r="T170" i="30"/>
  <c r="R167" i="30"/>
  <c r="S167" i="30"/>
  <c r="T167" i="30"/>
  <c r="R116" i="30"/>
  <c r="S116" i="30"/>
  <c r="T116" i="30"/>
  <c r="R31" i="30"/>
  <c r="S31" i="30"/>
  <c r="T31" i="30"/>
  <c r="R79" i="30"/>
  <c r="S79" i="30"/>
  <c r="T79" i="30"/>
  <c r="R158" i="30"/>
  <c r="S158" i="30"/>
  <c r="T158" i="30"/>
  <c r="Q24" i="30"/>
  <c r="Q48" i="30"/>
  <c r="Q72" i="30"/>
  <c r="Q96" i="30"/>
  <c r="Q86" i="30"/>
  <c r="Q30" i="30"/>
  <c r="R118" i="30"/>
  <c r="S118" i="30"/>
  <c r="T118" i="30"/>
  <c r="Q145" i="30"/>
  <c r="Q156" i="30"/>
  <c r="R55" i="30"/>
  <c r="S55" i="30"/>
  <c r="T55" i="30"/>
  <c r="R168" i="30"/>
  <c r="S168" i="30"/>
  <c r="T168" i="30"/>
  <c r="R145" i="30"/>
  <c r="S145" i="30"/>
  <c r="T145" i="30"/>
  <c r="R177" i="30"/>
  <c r="S177" i="30"/>
  <c r="T177" i="30"/>
  <c r="Q21" i="30"/>
  <c r="Q45" i="30"/>
  <c r="Q69" i="30"/>
  <c r="Q93" i="30"/>
  <c r="Q150" i="30"/>
  <c r="P84" i="30"/>
  <c r="P117" i="30"/>
  <c r="P25" i="30"/>
  <c r="R73" i="30"/>
  <c r="S73" i="30"/>
  <c r="T73" i="30"/>
  <c r="R119" i="30"/>
  <c r="S119" i="30"/>
  <c r="T119" i="30"/>
  <c r="P36" i="30"/>
  <c r="P60" i="30"/>
  <c r="Q83" i="30"/>
  <c r="R134" i="30"/>
  <c r="S134" i="30"/>
  <c r="T134" i="30"/>
  <c r="R142" i="30"/>
  <c r="S142" i="30"/>
  <c r="T142" i="30"/>
  <c r="R152" i="30"/>
  <c r="S152" i="30"/>
  <c r="T152" i="30"/>
  <c r="R175" i="30"/>
  <c r="S175" i="30"/>
  <c r="T175" i="30"/>
  <c r="R129" i="30"/>
  <c r="S129" i="30"/>
  <c r="T129" i="30"/>
  <c r="R32" i="30"/>
  <c r="S32" i="30"/>
  <c r="T32" i="30"/>
  <c r="R56" i="30"/>
  <c r="S56" i="30"/>
  <c r="T56" i="30"/>
  <c r="Q35" i="30"/>
  <c r="Q59" i="30"/>
  <c r="P23" i="30"/>
  <c r="P47" i="30"/>
  <c r="P71" i="30"/>
  <c r="R120" i="30"/>
  <c r="S120" i="30"/>
  <c r="T120" i="30"/>
  <c r="P103" i="30"/>
  <c r="R143" i="30"/>
  <c r="S143" i="30"/>
  <c r="T143" i="30"/>
  <c r="P18" i="30"/>
  <c r="P42" i="30"/>
  <c r="P66" i="30"/>
  <c r="R80" i="30"/>
  <c r="S80" i="30"/>
  <c r="T80" i="30"/>
  <c r="R37" i="30"/>
  <c r="S37" i="30"/>
  <c r="T37" i="30"/>
  <c r="R61" i="30"/>
  <c r="S61" i="30"/>
  <c r="T61" i="30"/>
  <c r="R85" i="30"/>
  <c r="S85" i="30"/>
  <c r="T85" i="30"/>
  <c r="Q40" i="30"/>
  <c r="Q64" i="30"/>
  <c r="Q88" i="30"/>
  <c r="R104" i="30"/>
  <c r="S104" i="30"/>
  <c r="T104" i="30"/>
  <c r="R171" i="30"/>
  <c r="S171" i="30"/>
  <c r="T171" i="30"/>
  <c r="R49" i="30"/>
  <c r="S49" i="30"/>
  <c r="T49" i="30"/>
  <c r="Q16" i="30"/>
  <c r="Q90" i="30"/>
  <c r="R101" i="30"/>
  <c r="S101" i="30"/>
  <c r="T101" i="30"/>
  <c r="R128" i="30"/>
  <c r="S128" i="30"/>
  <c r="T128" i="30"/>
  <c r="R164" i="30"/>
  <c r="S164" i="30"/>
  <c r="T164" i="30"/>
  <c r="R178" i="30"/>
  <c r="S178" i="30"/>
  <c r="T178" i="30"/>
  <c r="R144" i="30"/>
  <c r="S144" i="30"/>
  <c r="T144" i="30"/>
  <c r="R153" i="30"/>
  <c r="S153" i="30"/>
  <c r="T153" i="30"/>
  <c r="R97" i="30"/>
  <c r="T97" i="30"/>
  <c r="S97" i="30"/>
  <c r="R174" i="30"/>
  <c r="S174" i="30"/>
  <c r="T174" i="30"/>
  <c r="R179" i="30"/>
  <c r="S179" i="30"/>
  <c r="T179" i="30"/>
  <c r="R20" i="30"/>
  <c r="S20" i="30"/>
  <c r="T20" i="30"/>
  <c r="R44" i="30"/>
  <c r="S44" i="30"/>
  <c r="T44" i="30"/>
  <c r="R68" i="30"/>
  <c r="S68" i="30"/>
  <c r="T68" i="30"/>
  <c r="R92" i="30"/>
  <c r="S92" i="30"/>
  <c r="T92" i="30"/>
  <c r="R81" i="30"/>
  <c r="S81" i="30"/>
  <c r="T81" i="30"/>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s="1"/>
  <c r="K39" i="28" s="1"/>
  <c r="L39" i="28" s="1"/>
  <c r="M39" i="28" s="1"/>
  <c r="B40" i="28"/>
  <c r="C40" i="28"/>
  <c r="D40" i="28"/>
  <c r="E40" i="28"/>
  <c r="F40" i="28"/>
  <c r="G40" i="28"/>
  <c r="I40" i="28" s="1"/>
  <c r="K40" i="28" s="1"/>
  <c r="L40" i="28" s="1"/>
  <c r="M40" i="28" s="1"/>
  <c r="B10" i="5"/>
  <c r="C10" i="5"/>
  <c r="D10" i="5"/>
  <c r="E10" i="5"/>
  <c r="F10" i="5"/>
  <c r="G10" i="5"/>
  <c r="I10" i="5" s="1"/>
  <c r="J10" i="5" s="1"/>
  <c r="B11" i="5"/>
  <c r="C11" i="5"/>
  <c r="D11" i="5"/>
  <c r="E11" i="5"/>
  <c r="F11" i="5"/>
  <c r="G11" i="5"/>
  <c r="I11" i="5" s="1"/>
  <c r="J11" i="5" s="1"/>
  <c r="B12" i="5"/>
  <c r="C12" i="5"/>
  <c r="D12" i="5"/>
  <c r="E12" i="5"/>
  <c r="F12" i="5"/>
  <c r="G12" i="5"/>
  <c r="I12" i="5" s="1"/>
  <c r="J12" i="5" s="1"/>
  <c r="B13" i="5"/>
  <c r="C13" i="5"/>
  <c r="D13" i="5"/>
  <c r="E13" i="5"/>
  <c r="F13" i="5"/>
  <c r="G13" i="5"/>
  <c r="I13" i="5" s="1"/>
  <c r="J13" i="5" s="1"/>
  <c r="B14" i="5"/>
  <c r="C14" i="5"/>
  <c r="D14" i="5"/>
  <c r="E14" i="5"/>
  <c r="F14" i="5"/>
  <c r="G14" i="5"/>
  <c r="B10" i="4"/>
  <c r="C10" i="4"/>
  <c r="D10" i="4"/>
  <c r="E10" i="4"/>
  <c r="F10" i="4"/>
  <c r="G10" i="4"/>
  <c r="O10" i="4"/>
  <c r="U10" i="4"/>
  <c r="B11" i="4"/>
  <c r="C11" i="4"/>
  <c r="D11" i="4"/>
  <c r="E11" i="4"/>
  <c r="F11" i="4"/>
  <c r="G11" i="4"/>
  <c r="O11" i="4"/>
  <c r="U11" i="4"/>
  <c r="B12" i="4"/>
  <c r="C12" i="4"/>
  <c r="D12" i="4"/>
  <c r="E12" i="4"/>
  <c r="F12" i="4"/>
  <c r="G12" i="4"/>
  <c r="O12" i="4"/>
  <c r="U12" i="4"/>
  <c r="B13" i="4"/>
  <c r="C13" i="4"/>
  <c r="D13" i="4"/>
  <c r="E13" i="4"/>
  <c r="F13" i="4"/>
  <c r="G13" i="4"/>
  <c r="O13" i="4"/>
  <c r="U13" i="4"/>
  <c r="B14" i="4"/>
  <c r="C14" i="4"/>
  <c r="D14" i="4"/>
  <c r="E14" i="4"/>
  <c r="F14" i="4"/>
  <c r="G14" i="4"/>
  <c r="O14" i="4"/>
  <c r="U14" i="4"/>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9" i="30"/>
  <c r="H14" i="30"/>
  <c r="AB11" i="9"/>
  <c r="AB12" i="9"/>
  <c r="AB13" i="9"/>
  <c r="AB14" i="9"/>
  <c r="AB15" i="9"/>
  <c r="AB16" i="9"/>
  <c r="AB17" i="9"/>
  <c r="AB18" i="9"/>
  <c r="AB19" i="9"/>
  <c r="AB20" i="9"/>
  <c r="AB21" i="9"/>
  <c r="AB22" i="9"/>
  <c r="AB23" i="9"/>
  <c r="AB24" i="9"/>
  <c r="H15" i="31"/>
  <c r="H16" i="31"/>
  <c r="H17" i="31"/>
  <c r="H18" i="31"/>
  <c r="H19" i="31"/>
  <c r="H14" i="31"/>
  <c r="AA171" i="32" l="1"/>
  <c r="AB171" i="32"/>
  <c r="AA41" i="32"/>
  <c r="AB41" i="32"/>
  <c r="AA147" i="32"/>
  <c r="AB147" i="32"/>
  <c r="Z53" i="32"/>
  <c r="Z52" i="32"/>
  <c r="Z62" i="32"/>
  <c r="AA120" i="32"/>
  <c r="AB120" i="32"/>
  <c r="Z164" i="32"/>
  <c r="AA92" i="32"/>
  <c r="AB92" i="32"/>
  <c r="AA123" i="32"/>
  <c r="AB123" i="32"/>
  <c r="AA126" i="32"/>
  <c r="AB126" i="32"/>
  <c r="AA17" i="32"/>
  <c r="AB17" i="32"/>
  <c r="AA145" i="32"/>
  <c r="AB145" i="32"/>
  <c r="AA134" i="32"/>
  <c r="AB134" i="32"/>
  <c r="AA100" i="32"/>
  <c r="AB100" i="32"/>
  <c r="AA69" i="32"/>
  <c r="AB69" i="32"/>
  <c r="AA20" i="32"/>
  <c r="AB20" i="32"/>
  <c r="AA119" i="32"/>
  <c r="AB119" i="32"/>
  <c r="Z137" i="32"/>
  <c r="Z104" i="32"/>
  <c r="Z158" i="32"/>
  <c r="Z84" i="32"/>
  <c r="Z94" i="32"/>
  <c r="Z31" i="32"/>
  <c r="Z140" i="32"/>
  <c r="Z114" i="32"/>
  <c r="Z59" i="32"/>
  <c r="Z146" i="32"/>
  <c r="Z25" i="32"/>
  <c r="Z150" i="32"/>
  <c r="AA127" i="32"/>
  <c r="AB127" i="32"/>
  <c r="AA151" i="32"/>
  <c r="AB151" i="32"/>
  <c r="Z142" i="32"/>
  <c r="Z78" i="32"/>
  <c r="Z24" i="32"/>
  <c r="Z138" i="32"/>
  <c r="Z157" i="32"/>
  <c r="Z37" i="32"/>
  <c r="Z87" i="32"/>
  <c r="Z40" i="32"/>
  <c r="Z141" i="32"/>
  <c r="Z149" i="32"/>
  <c r="Z22" i="32"/>
  <c r="Z32" i="32"/>
  <c r="Z95" i="32"/>
  <c r="Z96" i="32"/>
  <c r="Z165" i="32"/>
  <c r="Z176" i="32"/>
  <c r="AA55" i="32"/>
  <c r="AB55" i="32"/>
  <c r="AA50" i="32"/>
  <c r="AB50" i="32"/>
  <c r="AA110" i="32"/>
  <c r="AB110" i="32"/>
  <c r="AA128" i="32"/>
  <c r="AB128" i="32"/>
  <c r="AA178" i="32"/>
  <c r="AB178" i="32"/>
  <c r="Z175" i="32"/>
  <c r="AA112" i="32"/>
  <c r="AB112" i="32"/>
  <c r="AA39" i="32"/>
  <c r="AB39" i="32"/>
  <c r="AA42" i="32"/>
  <c r="AB42" i="32"/>
  <c r="AA58" i="32"/>
  <c r="AB58" i="32"/>
  <c r="AA28" i="32"/>
  <c r="AB28" i="32"/>
  <c r="AA74" i="32"/>
  <c r="AB74" i="32"/>
  <c r="AA102" i="32"/>
  <c r="AB102" i="32"/>
  <c r="AA152" i="32"/>
  <c r="AB152" i="32"/>
  <c r="AA33" i="32"/>
  <c r="AK24" i="9" s="1"/>
  <c r="AB33" i="32"/>
  <c r="AA113" i="32"/>
  <c r="AB113" i="32"/>
  <c r="Z161" i="32"/>
  <c r="AA64" i="32"/>
  <c r="AB64" i="32"/>
  <c r="AA80" i="32"/>
  <c r="AB80" i="32"/>
  <c r="AA30" i="32"/>
  <c r="AB30" i="32"/>
  <c r="Z60" i="32"/>
  <c r="Z81" i="32"/>
  <c r="Z116" i="32"/>
  <c r="Z38" i="32"/>
  <c r="Z57" i="32"/>
  <c r="AA103" i="32"/>
  <c r="AB103" i="32"/>
  <c r="AA34" i="32"/>
  <c r="AB34" i="32"/>
  <c r="AA107" i="32"/>
  <c r="AB107" i="32"/>
  <c r="Z97" i="32"/>
  <c r="AA139" i="32"/>
  <c r="AB139" i="32"/>
  <c r="AA54" i="32"/>
  <c r="AB54" i="32"/>
  <c r="Z144" i="32"/>
  <c r="AA135" i="32"/>
  <c r="AB135" i="32"/>
  <c r="AA133" i="32"/>
  <c r="AB133" i="32"/>
  <c r="AA18" i="32"/>
  <c r="AB18" i="32"/>
  <c r="Z86" i="32"/>
  <c r="Z91" i="32"/>
  <c r="AA90" i="32"/>
  <c r="AB90" i="32"/>
  <c r="AA125" i="32"/>
  <c r="AB125" i="32"/>
  <c r="AA66" i="32"/>
  <c r="AB66" i="32"/>
  <c r="AA77" i="32"/>
  <c r="AB77" i="32"/>
  <c r="AA101" i="32"/>
  <c r="AB101" i="32"/>
  <c r="Z67" i="32"/>
  <c r="AA36" i="32"/>
  <c r="AB36" i="32"/>
  <c r="Z88" i="32"/>
  <c r="Z45" i="32"/>
  <c r="Z159" i="32"/>
  <c r="Z124" i="32"/>
  <c r="Z70" i="32"/>
  <c r="AA156" i="32"/>
  <c r="AB156" i="32"/>
  <c r="AA72" i="32"/>
  <c r="AB72" i="32"/>
  <c r="AA99" i="32"/>
  <c r="AB99" i="32"/>
  <c r="AA131" i="32"/>
  <c r="AB131" i="32"/>
  <c r="AA19" i="32"/>
  <c r="AB19" i="32"/>
  <c r="AA155" i="32"/>
  <c r="AB155" i="32"/>
  <c r="Z108" i="32"/>
  <c r="Z166" i="32"/>
  <c r="Z68" i="32"/>
  <c r="Z89" i="32"/>
  <c r="AA163" i="32"/>
  <c r="AB163" i="32"/>
  <c r="AA21" i="32"/>
  <c r="AB21" i="32"/>
  <c r="AA170" i="32"/>
  <c r="AB170" i="32"/>
  <c r="AA122" i="32"/>
  <c r="AB122" i="32"/>
  <c r="AA177" i="32"/>
  <c r="AB177" i="32"/>
  <c r="AA35" i="32"/>
  <c r="AB35" i="32"/>
  <c r="AA98" i="32"/>
  <c r="AB98" i="32"/>
  <c r="AA43" i="32"/>
  <c r="AB43" i="32"/>
  <c r="Z85" i="32"/>
  <c r="AA44" i="32"/>
  <c r="AB44" i="32"/>
  <c r="AA167" i="32"/>
  <c r="AB167" i="32"/>
  <c r="AA48" i="32"/>
  <c r="AB48" i="32"/>
  <c r="AA75" i="32"/>
  <c r="AB75" i="32"/>
  <c r="AA23" i="32"/>
  <c r="AB23" i="32"/>
  <c r="AA111" i="32"/>
  <c r="AB111" i="32"/>
  <c r="AA83" i="32"/>
  <c r="AB83" i="32"/>
  <c r="Z153" i="32"/>
  <c r="Z73" i="32"/>
  <c r="Z174" i="32"/>
  <c r="Z154" i="32"/>
  <c r="Z56" i="32"/>
  <c r="Z162" i="32"/>
  <c r="Z160" i="32"/>
  <c r="Z65" i="32"/>
  <c r="Z63" i="32"/>
  <c r="Z121" i="32"/>
  <c r="Z106" i="32"/>
  <c r="Z82" i="32"/>
  <c r="AA105" i="32"/>
  <c r="AB105" i="32"/>
  <c r="Z79" i="32"/>
  <c r="Z51" i="32"/>
  <c r="Z26" i="32"/>
  <c r="Z117" i="32"/>
  <c r="Z179" i="32"/>
  <c r="Z16" i="32"/>
  <c r="Z71" i="32"/>
  <c r="Z132" i="32"/>
  <c r="AA93" i="32"/>
  <c r="AB93" i="32"/>
  <c r="AA46" i="32"/>
  <c r="AB46" i="32"/>
  <c r="AA172" i="32"/>
  <c r="AB172" i="32"/>
  <c r="Z148" i="32"/>
  <c r="Z118" i="32"/>
  <c r="Z129" i="32"/>
  <c r="Z29" i="32"/>
  <c r="Z115" i="32"/>
  <c r="Z27" i="32"/>
  <c r="Z49" i="32"/>
  <c r="Z143" i="32"/>
  <c r="Z136" i="32"/>
  <c r="Z130" i="32"/>
  <c r="Z109" i="32"/>
  <c r="Z47" i="32"/>
  <c r="AA168" i="32"/>
  <c r="AB168" i="32"/>
  <c r="Z15" i="32"/>
  <c r="Z61" i="32"/>
  <c r="Z76" i="32"/>
  <c r="AB80" i="3"/>
  <c r="AE80" i="3"/>
  <c r="AB20" i="3"/>
  <c r="AE20" i="3"/>
  <c r="AB71" i="3"/>
  <c r="AE71" i="3"/>
  <c r="AB62" i="3"/>
  <c r="AE62" i="3"/>
  <c r="AB65" i="3"/>
  <c r="AE65" i="3"/>
  <c r="AB74" i="3"/>
  <c r="AE74" i="3"/>
  <c r="AB29" i="3"/>
  <c r="AE29" i="3"/>
  <c r="R163" i="30"/>
  <c r="S163" i="30"/>
  <c r="T163" i="30"/>
  <c r="R138" i="30"/>
  <c r="S138" i="30"/>
  <c r="T138" i="30"/>
  <c r="R110" i="30"/>
  <c r="S110" i="30"/>
  <c r="T110" i="30"/>
  <c r="R100" i="30"/>
  <c r="S100" i="30"/>
  <c r="T100" i="30"/>
  <c r="R103" i="30"/>
  <c r="S103" i="30"/>
  <c r="T103" i="30"/>
  <c r="R77" i="30"/>
  <c r="S77" i="30"/>
  <c r="T77" i="30"/>
  <c r="R94" i="30"/>
  <c r="S94" i="30"/>
  <c r="T94" i="30"/>
  <c r="R27" i="30"/>
  <c r="S27" i="30"/>
  <c r="T27" i="30"/>
  <c r="R87" i="30"/>
  <c r="S87" i="30"/>
  <c r="T87" i="30"/>
  <c r="R162" i="30"/>
  <c r="S162" i="30"/>
  <c r="T162" i="30"/>
  <c r="R17" i="30"/>
  <c r="S17" i="30"/>
  <c r="T17" i="30"/>
  <c r="T136" i="30"/>
  <c r="S136" i="30"/>
  <c r="R136" i="30"/>
  <c r="T124" i="30"/>
  <c r="R124" i="30"/>
  <c r="S124" i="30"/>
  <c r="R34" i="30"/>
  <c r="S34" i="30"/>
  <c r="T34" i="30"/>
  <c r="R53" i="30"/>
  <c r="S53" i="30"/>
  <c r="T53" i="30"/>
  <c r="R70" i="30"/>
  <c r="S70" i="30"/>
  <c r="T70" i="30"/>
  <c r="R126" i="30"/>
  <c r="S126" i="30"/>
  <c r="T126" i="30"/>
  <c r="R149" i="30"/>
  <c r="S149" i="30"/>
  <c r="T149" i="30"/>
  <c r="R121" i="30"/>
  <c r="S121" i="30"/>
  <c r="T121" i="30"/>
  <c r="R63" i="30"/>
  <c r="S63" i="30"/>
  <c r="T63" i="30"/>
  <c r="R75" i="30"/>
  <c r="S75" i="30"/>
  <c r="T75" i="30"/>
  <c r="S147" i="30"/>
  <c r="T147" i="30"/>
  <c r="R147" i="30"/>
  <c r="R173" i="30"/>
  <c r="S173" i="30"/>
  <c r="T173" i="30"/>
  <c r="R25" i="30"/>
  <c r="S25" i="30"/>
  <c r="T25" i="30"/>
  <c r="R58" i="30"/>
  <c r="S58" i="30"/>
  <c r="T58" i="30"/>
  <c r="R89" i="30"/>
  <c r="S89" i="30"/>
  <c r="T89" i="30"/>
  <c r="R140" i="30"/>
  <c r="S140" i="30"/>
  <c r="T140" i="30"/>
  <c r="T148" i="30"/>
  <c r="R148" i="30"/>
  <c r="S148" i="30"/>
  <c r="S135" i="30"/>
  <c r="T135" i="30"/>
  <c r="R135" i="30"/>
  <c r="R133" i="30"/>
  <c r="S133" i="30"/>
  <c r="T133" i="30"/>
  <c r="R71" i="30"/>
  <c r="S71" i="30"/>
  <c r="T71" i="30"/>
  <c r="R117" i="30"/>
  <c r="S117" i="30"/>
  <c r="T117" i="30"/>
  <c r="R172" i="30"/>
  <c r="S172" i="30"/>
  <c r="T172" i="30"/>
  <c r="R15" i="30"/>
  <c r="S15" i="30"/>
  <c r="T15" i="30"/>
  <c r="S105" i="30"/>
  <c r="T105" i="30"/>
  <c r="R105" i="30"/>
  <c r="T125" i="30"/>
  <c r="R125" i="30"/>
  <c r="S125" i="30"/>
  <c r="R114" i="30"/>
  <c r="S114" i="30"/>
  <c r="T114" i="30"/>
  <c r="R166" i="30"/>
  <c r="S166" i="30"/>
  <c r="T166" i="30"/>
  <c r="R115" i="30"/>
  <c r="S115" i="30"/>
  <c r="T115" i="30"/>
  <c r="R113" i="30"/>
  <c r="T113" i="30"/>
  <c r="S113" i="30"/>
  <c r="R109" i="30"/>
  <c r="S109" i="30"/>
  <c r="T109" i="30"/>
  <c r="R65" i="30"/>
  <c r="S65" i="30"/>
  <c r="T65" i="30"/>
  <c r="R82" i="30"/>
  <c r="S82" i="30"/>
  <c r="T82" i="30"/>
  <c r="R47" i="30"/>
  <c r="S47" i="30"/>
  <c r="T47" i="30"/>
  <c r="R84" i="30"/>
  <c r="S84" i="30"/>
  <c r="T84" i="30"/>
  <c r="S111" i="30"/>
  <c r="T111" i="30"/>
  <c r="R111" i="30"/>
  <c r="T106" i="30"/>
  <c r="R106" i="30"/>
  <c r="S106" i="30"/>
  <c r="R176" i="30"/>
  <c r="S176" i="30"/>
  <c r="T176" i="30"/>
  <c r="R41" i="30"/>
  <c r="S41" i="30"/>
  <c r="T41" i="30"/>
  <c r="T160" i="30"/>
  <c r="R160" i="30"/>
  <c r="S160" i="30"/>
  <c r="R51" i="30"/>
  <c r="S51" i="30"/>
  <c r="T51" i="30"/>
  <c r="R46" i="30"/>
  <c r="S46" i="30"/>
  <c r="T46" i="30"/>
  <c r="S123" i="30"/>
  <c r="T123" i="30"/>
  <c r="R123" i="30"/>
  <c r="R155" i="30"/>
  <c r="S155" i="30"/>
  <c r="T155" i="30"/>
  <c r="R131" i="30"/>
  <c r="S131" i="30"/>
  <c r="T131" i="30"/>
  <c r="R23" i="30"/>
  <c r="S23" i="30"/>
  <c r="T23" i="30"/>
  <c r="R107" i="30"/>
  <c r="S107" i="30"/>
  <c r="T107" i="30"/>
  <c r="R22" i="30"/>
  <c r="S22" i="30"/>
  <c r="T22" i="30"/>
  <c r="R42" i="30"/>
  <c r="S42" i="30"/>
  <c r="T42" i="30"/>
  <c r="R60" i="30"/>
  <c r="S60" i="30"/>
  <c r="T60" i="30"/>
  <c r="T112" i="30"/>
  <c r="S112" i="30"/>
  <c r="R112" i="30"/>
  <c r="R157" i="30"/>
  <c r="S157" i="30"/>
  <c r="T157" i="30"/>
  <c r="R165" i="30"/>
  <c r="S165" i="30"/>
  <c r="T165" i="30"/>
  <c r="R154" i="30"/>
  <c r="S154" i="30"/>
  <c r="T154" i="30"/>
  <c r="R161" i="30"/>
  <c r="S161" i="30"/>
  <c r="T161" i="30"/>
  <c r="R66" i="30"/>
  <c r="S66" i="30"/>
  <c r="T66" i="30"/>
  <c r="R18" i="30"/>
  <c r="S18" i="30"/>
  <c r="T18" i="30"/>
  <c r="R36" i="30"/>
  <c r="S36" i="30"/>
  <c r="T36" i="30"/>
  <c r="R122" i="30"/>
  <c r="S122" i="30"/>
  <c r="T122" i="30"/>
  <c r="R29" i="30"/>
  <c r="S29" i="30"/>
  <c r="T29" i="30"/>
  <c r="R132" i="30"/>
  <c r="S132" i="30"/>
  <c r="T132" i="30"/>
  <c r="R127" i="30"/>
  <c r="S127" i="30"/>
  <c r="T127" i="30"/>
  <c r="R108" i="30"/>
  <c r="S108" i="30"/>
  <c r="T108" i="30"/>
  <c r="R39" i="30"/>
  <c r="S39" i="30"/>
  <c r="T39" i="30"/>
  <c r="R98" i="30"/>
  <c r="T98" i="30"/>
  <c r="S98" i="30"/>
  <c r="R130" i="30"/>
  <c r="S130" i="30"/>
  <c r="T130" i="30"/>
  <c r="T137" i="30"/>
  <c r="R137" i="30"/>
  <c r="S137" i="30"/>
  <c r="R99" i="30"/>
  <c r="T99" i="30"/>
  <c r="S99" i="30"/>
  <c r="S159" i="30"/>
  <c r="T159" i="30"/>
  <c r="R159" i="30"/>
  <c r="R146" i="30"/>
  <c r="S146" i="30"/>
  <c r="T146" i="30"/>
  <c r="R151" i="30"/>
  <c r="S151" i="30"/>
  <c r="T151" i="30"/>
  <c r="I11" i="4"/>
  <c r="J10" i="4"/>
  <c r="K10" i="4" s="1"/>
  <c r="J12" i="4"/>
  <c r="K12" i="4" s="1"/>
  <c r="J14" i="4"/>
  <c r="L14" i="4" s="1"/>
  <c r="K13" i="5"/>
  <c r="L13" i="5" s="1"/>
  <c r="K10" i="5"/>
  <c r="L10" i="5" s="1"/>
  <c r="J11" i="4"/>
  <c r="K11" i="4" s="1"/>
  <c r="K11" i="5"/>
  <c r="L11" i="5" s="1"/>
  <c r="J13" i="4"/>
  <c r="M13" i="4" s="1"/>
  <c r="K14" i="5"/>
  <c r="L14" i="5" s="1"/>
  <c r="I14" i="4"/>
  <c r="I13" i="4"/>
  <c r="K12" i="5"/>
  <c r="L12" i="5" s="1"/>
  <c r="N39" i="28"/>
  <c r="O39" i="28"/>
  <c r="N38" i="28"/>
  <c r="O38" i="28"/>
  <c r="O36" i="28"/>
  <c r="N36" i="28"/>
  <c r="N40" i="28"/>
  <c r="O40" i="28"/>
  <c r="N37" i="28"/>
  <c r="O37" i="28"/>
  <c r="M13" i="5"/>
  <c r="I14" i="5"/>
  <c r="J14" i="5" s="1"/>
  <c r="M10" i="5"/>
  <c r="M12" i="4"/>
  <c r="I10" i="4"/>
  <c r="L12" i="4"/>
  <c r="N12" i="4" s="1"/>
  <c r="AM12" i="4" s="1"/>
  <c r="M10" i="4"/>
  <c r="I12" i="4"/>
  <c r="L10" i="4"/>
  <c r="N10" i="4" s="1"/>
  <c r="S10" i="32"/>
  <c r="P14" i="32"/>
  <c r="G14" i="32"/>
  <c r="F14" i="32"/>
  <c r="E14" i="32"/>
  <c r="D14" i="32"/>
  <c r="C14" i="32"/>
  <c r="B14" i="32"/>
  <c r="D11" i="32"/>
  <c r="E11" i="32" s="1"/>
  <c r="D9" i="32"/>
  <c r="E9" i="32" s="1"/>
  <c r="S9" i="32"/>
  <c r="P7" i="32"/>
  <c r="P8" i="32" s="1"/>
  <c r="D7" i="32"/>
  <c r="E7" i="32" s="1"/>
  <c r="D6" i="32"/>
  <c r="E6" i="32" s="1"/>
  <c r="V5" i="32"/>
  <c r="V4" i="32"/>
  <c r="C4" i="32"/>
  <c r="B2" i="32"/>
  <c r="AA143" i="32" l="1"/>
  <c r="AB143" i="32"/>
  <c r="AA82" i="32"/>
  <c r="AB82" i="32"/>
  <c r="AA124" i="32"/>
  <c r="AB124" i="32"/>
  <c r="AA161" i="32"/>
  <c r="AB161" i="32"/>
  <c r="AA32" i="32"/>
  <c r="AK23" i="9" s="1"/>
  <c r="AB32" i="32"/>
  <c r="AA84" i="32"/>
  <c r="AB84" i="32"/>
  <c r="AA164" i="32"/>
  <c r="AB164" i="32"/>
  <c r="AA49" i="32"/>
  <c r="AB49" i="32"/>
  <c r="AA106" i="32"/>
  <c r="AB106" i="32"/>
  <c r="AA159" i="32"/>
  <c r="AB159" i="32"/>
  <c r="AA144" i="32"/>
  <c r="AB144" i="32"/>
  <c r="AA57" i="32"/>
  <c r="AB57" i="32"/>
  <c r="AA22" i="32"/>
  <c r="AB22" i="32"/>
  <c r="AA158" i="32"/>
  <c r="AB158" i="32"/>
  <c r="AA27" i="32"/>
  <c r="AB27" i="32"/>
  <c r="AA132" i="32"/>
  <c r="AB132" i="32"/>
  <c r="AA121" i="32"/>
  <c r="AB121" i="32"/>
  <c r="AA85" i="32"/>
  <c r="AB85" i="32"/>
  <c r="AA45" i="32"/>
  <c r="AB45" i="32"/>
  <c r="AA38" i="32"/>
  <c r="AB38" i="32"/>
  <c r="AA149" i="32"/>
  <c r="AB149" i="32"/>
  <c r="AA104" i="32"/>
  <c r="AB104" i="32"/>
  <c r="AA76" i="32"/>
  <c r="AB76" i="32"/>
  <c r="AA115" i="32"/>
  <c r="AB115" i="32"/>
  <c r="AA71" i="32"/>
  <c r="AB71" i="32"/>
  <c r="AA63" i="32"/>
  <c r="AB63" i="32"/>
  <c r="AA88" i="32"/>
  <c r="AB88" i="32"/>
  <c r="AA116" i="32"/>
  <c r="AB116" i="32"/>
  <c r="AA141" i="32"/>
  <c r="AB141" i="32"/>
  <c r="AA137" i="32"/>
  <c r="AB137" i="32"/>
  <c r="AA62" i="32"/>
  <c r="AB62" i="32"/>
  <c r="AA61" i="32"/>
  <c r="AB61" i="32"/>
  <c r="AA29" i="32"/>
  <c r="AB29" i="32"/>
  <c r="AA16" i="32"/>
  <c r="AB16" i="32"/>
  <c r="AA65" i="32"/>
  <c r="AB65" i="32"/>
  <c r="AA81" i="32"/>
  <c r="AB81" i="32"/>
  <c r="AA40" i="32"/>
  <c r="AB40" i="32"/>
  <c r="AA150" i="32"/>
  <c r="AB150" i="32"/>
  <c r="AA52" i="32"/>
  <c r="AB52" i="32"/>
  <c r="AA15" i="32"/>
  <c r="AB15" i="32"/>
  <c r="AA129" i="32"/>
  <c r="AB129" i="32"/>
  <c r="AA179" i="32"/>
  <c r="AB179" i="32"/>
  <c r="AA160" i="32"/>
  <c r="AB160" i="32"/>
  <c r="AA91" i="32"/>
  <c r="AB91" i="32"/>
  <c r="AA60" i="32"/>
  <c r="AB60" i="32"/>
  <c r="AA87" i="32"/>
  <c r="AB87" i="32"/>
  <c r="AA25" i="32"/>
  <c r="AB25" i="32"/>
  <c r="AA53" i="32"/>
  <c r="AB53" i="32"/>
  <c r="AA118" i="32"/>
  <c r="AB118" i="32"/>
  <c r="AA117" i="32"/>
  <c r="AB117" i="32"/>
  <c r="AA162" i="32"/>
  <c r="AB162" i="32"/>
  <c r="AA67" i="32"/>
  <c r="AB67" i="32"/>
  <c r="AA86" i="32"/>
  <c r="AB86" i="32"/>
  <c r="AA97" i="32"/>
  <c r="AB97" i="32"/>
  <c r="AA37" i="32"/>
  <c r="AB37" i="32"/>
  <c r="AA146" i="32"/>
  <c r="AB146" i="32"/>
  <c r="AA148" i="32"/>
  <c r="AB148" i="32"/>
  <c r="AA26" i="32"/>
  <c r="AB26" i="32"/>
  <c r="AA56" i="32"/>
  <c r="AB56" i="32"/>
  <c r="AA89" i="32"/>
  <c r="AB89" i="32"/>
  <c r="AA157" i="32"/>
  <c r="AB157" i="32"/>
  <c r="AA59" i="32"/>
  <c r="AB59" i="32"/>
  <c r="AA47" i="32"/>
  <c r="AB47" i="32"/>
  <c r="AA51" i="32"/>
  <c r="AB51" i="32"/>
  <c r="AA154" i="32"/>
  <c r="AB154" i="32"/>
  <c r="AA68" i="32"/>
  <c r="AB68" i="32"/>
  <c r="AA176" i="32"/>
  <c r="AB176" i="32"/>
  <c r="AA138" i="32"/>
  <c r="AB138" i="32"/>
  <c r="AA114" i="32"/>
  <c r="AB114" i="32"/>
  <c r="AA109" i="32"/>
  <c r="AB109" i="32"/>
  <c r="AA79" i="32"/>
  <c r="AB79" i="32"/>
  <c r="AA174" i="32"/>
  <c r="AB174" i="32"/>
  <c r="AA166" i="32"/>
  <c r="AB166" i="32"/>
  <c r="AA175" i="32"/>
  <c r="AB175" i="32"/>
  <c r="AA165" i="32"/>
  <c r="AB165" i="32"/>
  <c r="AA24" i="32"/>
  <c r="AB24" i="32"/>
  <c r="AA140" i="32"/>
  <c r="AB140" i="32"/>
  <c r="AA130" i="32"/>
  <c r="AB130" i="32"/>
  <c r="AA73" i="32"/>
  <c r="AB73" i="32"/>
  <c r="AA108" i="32"/>
  <c r="AB108" i="32"/>
  <c r="AA96" i="32"/>
  <c r="AB96" i="32"/>
  <c r="AA78" i="32"/>
  <c r="AB78" i="32"/>
  <c r="AA31" i="32"/>
  <c r="AK22" i="9" s="1"/>
  <c r="AB31" i="32"/>
  <c r="AA136" i="32"/>
  <c r="AB136" i="32"/>
  <c r="AA153" i="32"/>
  <c r="AB153" i="32"/>
  <c r="AA70" i="32"/>
  <c r="AB70" i="32"/>
  <c r="AA95" i="32"/>
  <c r="AB95" i="32"/>
  <c r="AA142" i="32"/>
  <c r="AB142" i="32"/>
  <c r="AA94" i="32"/>
  <c r="AB94" i="32"/>
  <c r="AD74" i="3"/>
  <c r="AF74" i="3"/>
  <c r="AD65" i="3"/>
  <c r="AF65" i="3"/>
  <c r="AD62" i="3"/>
  <c r="AF62" i="3"/>
  <c r="AD71" i="3"/>
  <c r="AF71" i="3"/>
  <c r="AD20" i="3"/>
  <c r="AF20" i="3"/>
  <c r="AD29" i="3"/>
  <c r="AF29" i="3"/>
  <c r="AD80" i="3"/>
  <c r="AF80" i="3"/>
  <c r="L13" i="4"/>
  <c r="N13" i="4" s="1"/>
  <c r="P13" i="4" s="1"/>
  <c r="K13" i="4"/>
  <c r="M11" i="5"/>
  <c r="M14" i="4"/>
  <c r="K14" i="4"/>
  <c r="N14" i="4" s="1"/>
  <c r="M11" i="4"/>
  <c r="AJ24" i="9"/>
  <c r="AA24" i="9"/>
  <c r="L11" i="4"/>
  <c r="AJ23" i="9"/>
  <c r="AA23" i="9"/>
  <c r="N23" i="9"/>
  <c r="N24" i="9"/>
  <c r="P10" i="4"/>
  <c r="V10" i="4" s="1"/>
  <c r="W10" i="4" s="1"/>
  <c r="Z10" i="4" s="1"/>
  <c r="Q10" i="4"/>
  <c r="T10" i="4"/>
  <c r="AF10" i="4" s="1"/>
  <c r="AG10" i="4" s="1"/>
  <c r="Q12" i="4"/>
  <c r="P12" i="4"/>
  <c r="AC12" i="4"/>
  <c r="T12" i="4"/>
  <c r="AF12" i="4" s="1"/>
  <c r="AG12" i="4" s="1"/>
  <c r="AR12" i="4"/>
  <c r="AH12" i="4"/>
  <c r="S12" i="4"/>
  <c r="M14" i="5"/>
  <c r="K14" i="32"/>
  <c r="M14" i="32"/>
  <c r="L14" i="32"/>
  <c r="X10" i="4"/>
  <c r="AM10" i="4"/>
  <c r="AC10" i="4"/>
  <c r="M12" i="5"/>
  <c r="R10" i="4"/>
  <c r="AR10" i="4"/>
  <c r="AH10" i="4"/>
  <c r="R12" i="4"/>
  <c r="S10" i="4"/>
  <c r="AP10" i="4" s="1"/>
  <c r="AQ10" i="4" s="1"/>
  <c r="AT10" i="4" s="1"/>
  <c r="N11" i="4"/>
  <c r="T11" i="4" s="1"/>
  <c r="AF11" i="4" s="1"/>
  <c r="AG11" i="4" s="1"/>
  <c r="X12" i="4"/>
  <c r="AS10" i="4"/>
  <c r="AI10" i="4"/>
  <c r="AJ10" i="4"/>
  <c r="AP12" i="4"/>
  <c r="AQ12" i="4" s="1"/>
  <c r="AA12" i="4"/>
  <c r="AB12" i="4" s="1"/>
  <c r="AA10" i="4"/>
  <c r="AB10" i="4" s="1"/>
  <c r="AK10" i="4"/>
  <c r="AL10" i="4" s="1"/>
  <c r="Y10" i="4"/>
  <c r="AI12" i="4"/>
  <c r="AJ12" i="4"/>
  <c r="H15" i="32"/>
  <c r="H16" i="32"/>
  <c r="H14" i="32"/>
  <c r="H17" i="32"/>
  <c r="H18" i="32"/>
  <c r="H19" i="32"/>
  <c r="T14" i="32"/>
  <c r="O14" i="32"/>
  <c r="F11" i="32"/>
  <c r="N14" i="32"/>
  <c r="I14" i="32"/>
  <c r="S14" i="4" l="1"/>
  <c r="Q14" i="4"/>
  <c r="V14" i="4" s="1"/>
  <c r="W14" i="4" s="1"/>
  <c r="AC14" i="4"/>
  <c r="P14" i="4"/>
  <c r="X14" i="4"/>
  <c r="AH14" i="4"/>
  <c r="AM14" i="4"/>
  <c r="T14" i="4"/>
  <c r="AF14" i="4" s="1"/>
  <c r="AG14" i="4" s="1"/>
  <c r="AI14" i="4" s="1"/>
  <c r="AR14" i="4"/>
  <c r="R14" i="4"/>
  <c r="AC13" i="4"/>
  <c r="AM13" i="4"/>
  <c r="AR13" i="4"/>
  <c r="T13" i="4"/>
  <c r="AF13" i="4" s="1"/>
  <c r="AG13" i="4" s="1"/>
  <c r="AH13" i="4"/>
  <c r="Q13" i="4"/>
  <c r="V13" i="4" s="1"/>
  <c r="W13" i="4" s="1"/>
  <c r="S13" i="4"/>
  <c r="AA13" i="4" s="1"/>
  <c r="AB13" i="4" s="1"/>
  <c r="X13" i="4"/>
  <c r="R13" i="4"/>
  <c r="AK12" i="4"/>
  <c r="AL12" i="4" s="1"/>
  <c r="R11" i="4"/>
  <c r="AJ22" i="9"/>
  <c r="AA22" i="9"/>
  <c r="N22" i="9"/>
  <c r="V12" i="4"/>
  <c r="W12" i="4" s="1"/>
  <c r="S11" i="4"/>
  <c r="AH11" i="4"/>
  <c r="AM11" i="4"/>
  <c r="Q11" i="4"/>
  <c r="V11" i="4" s="1"/>
  <c r="W11" i="4" s="1"/>
  <c r="Y11" i="4" s="1"/>
  <c r="X11" i="4"/>
  <c r="AK13" i="4"/>
  <c r="AL13" i="4" s="1"/>
  <c r="AP13" i="4"/>
  <c r="AQ13" i="4" s="1"/>
  <c r="P11" i="4"/>
  <c r="AC11" i="4"/>
  <c r="AR11" i="4"/>
  <c r="AJ14" i="4"/>
  <c r="AN10" i="4"/>
  <c r="AO10" i="4"/>
  <c r="AD13" i="4"/>
  <c r="AE13" i="4"/>
  <c r="AD12" i="4"/>
  <c r="AE12" i="4"/>
  <c r="AT12" i="4"/>
  <c r="AS12" i="4"/>
  <c r="Y13" i="4"/>
  <c r="Z13" i="4"/>
  <c r="AE10" i="4"/>
  <c r="AD10" i="4"/>
  <c r="AJ11" i="4"/>
  <c r="AI11" i="4"/>
  <c r="AI13" i="4"/>
  <c r="AJ13" i="4"/>
  <c r="Z14" i="4"/>
  <c r="Y14" i="4"/>
  <c r="N15" i="9"/>
  <c r="AJ12" i="9"/>
  <c r="AA12" i="9"/>
  <c r="N12" i="9"/>
  <c r="AK17" i="9"/>
  <c r="AK19" i="9"/>
  <c r="AK12" i="9"/>
  <c r="AK11" i="9"/>
  <c r="N16" i="9"/>
  <c r="N6" i="9"/>
  <c r="Q14" i="32"/>
  <c r="R14" i="32" s="1"/>
  <c r="S14" i="32" s="1"/>
  <c r="W14" i="32" s="1"/>
  <c r="AN12" i="4" l="1"/>
  <c r="AO12" i="4"/>
  <c r="AP14" i="4"/>
  <c r="AQ14" i="4" s="1"/>
  <c r="AA14" i="4"/>
  <c r="AB14" i="4" s="1"/>
  <c r="AK14" i="4"/>
  <c r="AL14" i="4" s="1"/>
  <c r="AK11" i="4"/>
  <c r="AL11" i="4" s="1"/>
  <c r="AO11" i="4" s="1"/>
  <c r="AP11" i="4"/>
  <c r="AQ11" i="4" s="1"/>
  <c r="Z11" i="4"/>
  <c r="Z12" i="4"/>
  <c r="Y12" i="4"/>
  <c r="AA11" i="4"/>
  <c r="AB11" i="4" s="1"/>
  <c r="AD11" i="4" s="1"/>
  <c r="AO13" i="4"/>
  <c r="AN13" i="4"/>
  <c r="AS13" i="4"/>
  <c r="AT13" i="4"/>
  <c r="X14" i="32"/>
  <c r="AS11" i="4"/>
  <c r="AT11" i="4"/>
  <c r="AN11" i="4"/>
  <c r="AK7" i="9"/>
  <c r="AK10" i="9"/>
  <c r="AK20" i="9"/>
  <c r="AA14" i="9"/>
  <c r="AJ14" i="9"/>
  <c r="AK16" i="9"/>
  <c r="AJ15" i="9"/>
  <c r="AA15" i="9"/>
  <c r="AJ16" i="9"/>
  <c r="AA16" i="9"/>
  <c r="AJ19" i="9"/>
  <c r="AJ11" i="9"/>
  <c r="AA11" i="9"/>
  <c r="N11" i="9"/>
  <c r="AK14" i="9"/>
  <c r="AK6" i="9"/>
  <c r="AK15" i="9"/>
  <c r="AA18" i="9"/>
  <c r="AJ13" i="9"/>
  <c r="AA13" i="9"/>
  <c r="N13" i="9"/>
  <c r="AA19" i="9"/>
  <c r="AJ8" i="9"/>
  <c r="AK18" i="9"/>
  <c r="AK13" i="9"/>
  <c r="AK21" i="9"/>
  <c r="N20" i="9"/>
  <c r="AJ20" i="9"/>
  <c r="AA20" i="9"/>
  <c r="AJ17" i="9"/>
  <c r="AA17" i="9"/>
  <c r="N17" i="9"/>
  <c r="AJ6" i="9"/>
  <c r="AJ18" i="9"/>
  <c r="N18" i="9"/>
  <c r="AJ21" i="9"/>
  <c r="N21" i="9"/>
  <c r="AA21" i="9"/>
  <c r="N19" i="9"/>
  <c r="N14" i="9"/>
  <c r="AA8" i="9"/>
  <c r="AC19" i="32"/>
  <c r="AB10" i="9" s="1"/>
  <c r="AJ7" i="9"/>
  <c r="AC18" i="32"/>
  <c r="AB9" i="9" s="1"/>
  <c r="AC16" i="32"/>
  <c r="AB7" i="9" s="1"/>
  <c r="AJ10" i="9"/>
  <c r="AA7" i="9"/>
  <c r="AJ9" i="9"/>
  <c r="AA10" i="9"/>
  <c r="AA9" i="9"/>
  <c r="O9" i="9"/>
  <c r="AA6" i="9"/>
  <c r="O8" i="9"/>
  <c r="O6" i="9"/>
  <c r="AK9" i="9"/>
  <c r="AC15" i="32"/>
  <c r="AB6" i="9" s="1"/>
  <c r="AK8" i="9"/>
  <c r="AC17" i="32"/>
  <c r="AB8" i="9" s="1"/>
  <c r="N7" i="9"/>
  <c r="O7" i="9"/>
  <c r="N8" i="9"/>
  <c r="O10" i="9"/>
  <c r="N9" i="9"/>
  <c r="N10" i="9"/>
  <c r="V14" i="32"/>
  <c r="Y14" i="32" s="1"/>
  <c r="U14" i="32"/>
  <c r="AN14" i="4" l="1"/>
  <c r="AO14" i="4"/>
  <c r="AE14" i="4"/>
  <c r="AD14" i="4"/>
  <c r="AS14" i="4"/>
  <c r="AT14" i="4"/>
  <c r="AE11" i="4"/>
  <c r="Z14" i="32"/>
  <c r="AC14" i="32" s="1"/>
  <c r="AB5" i="9" s="1"/>
  <c r="P14" i="31"/>
  <c r="Q14" i="31" s="1"/>
  <c r="AB14" i="32" l="1"/>
  <c r="O5" i="9"/>
  <c r="AA14" i="32"/>
  <c r="AK5" i="9" s="1"/>
  <c r="G14" i="31"/>
  <c r="F14" i="31"/>
  <c r="E14" i="31"/>
  <c r="D14" i="31"/>
  <c r="C14" i="31"/>
  <c r="B14" i="31"/>
  <c r="P7" i="31"/>
  <c r="P8" i="31" s="1"/>
  <c r="K14" i="31" l="1"/>
  <c r="L14" i="31"/>
  <c r="M14" i="31"/>
  <c r="I14" i="31"/>
  <c r="N14" i="31"/>
  <c r="O14" i="31" s="1"/>
  <c r="R14" i="31" s="1"/>
  <c r="W14" i="31" s="1"/>
  <c r="U14" i="31" l="1"/>
  <c r="D11" i="31"/>
  <c r="E11" i="31" s="1"/>
  <c r="D9" i="31"/>
  <c r="E9" i="31" s="1"/>
  <c r="D7" i="31"/>
  <c r="E7" i="31" s="1"/>
  <c r="D6" i="31"/>
  <c r="E6" i="31" s="1"/>
  <c r="C4" i="31"/>
  <c r="B2" i="31"/>
  <c r="S14" i="31" l="1"/>
  <c r="V14" i="31" s="1"/>
  <c r="F11" i="31"/>
  <c r="X14" i="31" l="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Y14" i="31" l="1"/>
  <c r="AB14" i="31" s="1"/>
  <c r="AA5" i="9" s="1"/>
  <c r="T17" i="19"/>
  <c r="T15" i="19"/>
  <c r="Q7" i="28"/>
  <c r="P7" i="28"/>
  <c r="Z14" i="31" l="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4" i="25"/>
  <c r="R14" i="25" s="1"/>
  <c r="L12" i="25"/>
  <c r="O12" i="25" s="1"/>
  <c r="R12" i="25" s="1"/>
  <c r="S14" i="25"/>
  <c r="S13" i="25"/>
  <c r="P14" i="25"/>
  <c r="O13" i="25" l="1"/>
  <c r="R13" i="25" s="1"/>
  <c r="P15" i="25"/>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AI10" i="9" l="1"/>
  <c r="AQ10" i="9"/>
  <c r="M10" i="9"/>
  <c r="L14" i="30"/>
  <c r="K14" i="30"/>
  <c r="J14" i="30"/>
  <c r="M14" i="30" s="1"/>
  <c r="N14" i="30" s="1"/>
  <c r="F11" i="30"/>
  <c r="O14" i="30"/>
  <c r="Z10" i="9" l="1"/>
  <c r="Z6" i="9"/>
  <c r="AI9" i="9"/>
  <c r="AQ9" i="9"/>
  <c r="Z9" i="9"/>
  <c r="AQ8" i="9"/>
  <c r="AI8" i="9"/>
  <c r="AQ6" i="9"/>
  <c r="AI6" i="9"/>
  <c r="AQ7" i="9"/>
  <c r="AI7" i="9"/>
  <c r="Z7" i="9"/>
  <c r="Z8"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H19" i="8" s="1"/>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I14" i="8" s="1"/>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M11" i="2"/>
  <c r="B2" i="5"/>
  <c r="B2" i="4"/>
  <c r="B2" i="3"/>
  <c r="B9" i="5"/>
  <c r="C9" i="5"/>
  <c r="D9" i="5"/>
  <c r="E9" i="5"/>
  <c r="F9" i="5"/>
  <c r="F9" i="4"/>
  <c r="C9" i="4"/>
  <c r="B9" i="4"/>
  <c r="L13" i="6"/>
  <c r="H9" i="4" l="1"/>
  <c r="H9" i="5"/>
  <c r="A14" i="32"/>
  <c r="A14" i="31"/>
  <c r="H40" i="28"/>
  <c r="H14" i="4"/>
  <c r="H14" i="5"/>
  <c r="A14" i="5"/>
  <c r="A40" i="28"/>
  <c r="A14" i="4"/>
  <c r="H9" i="3"/>
  <c r="J14" i="32"/>
  <c r="J14" i="31"/>
  <c r="H13" i="5"/>
  <c r="H39" i="28"/>
  <c r="H13" i="4"/>
  <c r="A10" i="5"/>
  <c r="A36" i="28"/>
  <c r="A10" i="4"/>
  <c r="A13" i="5"/>
  <c r="A39" i="28"/>
  <c r="A13" i="4"/>
  <c r="H12" i="5"/>
  <c r="H38" i="28"/>
  <c r="H12" i="4"/>
  <c r="A12" i="5"/>
  <c r="A38" i="28"/>
  <c r="A12" i="4"/>
  <c r="H11" i="5"/>
  <c r="H11" i="4"/>
  <c r="H37" i="28"/>
  <c r="H10" i="4"/>
  <c r="H10" i="5"/>
  <c r="H36" i="28"/>
  <c r="A37" i="28"/>
  <c r="A11" i="5"/>
  <c r="A11" i="4"/>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5" i="2" l="1"/>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M14" i="8"/>
  <c r="N14" i="8" s="1"/>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O14" i="19" l="1"/>
  <c r="X10" i="9"/>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AG9" i="9"/>
  <c r="AG6" i="9"/>
  <c r="Y6" i="9"/>
  <c r="S8" i="9"/>
  <c r="AG13" i="9"/>
  <c r="K12" i="9"/>
  <c r="X12" i="9"/>
  <c r="J13" i="9"/>
  <c r="W13" i="9"/>
  <c r="S9" i="9"/>
  <c r="AH8" i="9"/>
  <c r="L8" i="9"/>
  <c r="J9" i="9"/>
  <c r="L7" i="9"/>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N15" i="19" l="1"/>
  <c r="M15" i="19"/>
  <c r="Q15" i="19"/>
  <c r="S15" i="19" s="1"/>
  <c r="W15" i="19"/>
  <c r="AE15" i="19"/>
  <c r="Y15" i="19"/>
  <c r="AG15" i="19"/>
  <c r="AH15" i="19" s="1"/>
  <c r="AF15" i="19" s="1"/>
  <c r="Z15" i="19"/>
  <c r="O16" i="19"/>
  <c r="U16" i="19"/>
  <c r="V16" i="19" s="1"/>
  <c r="T9" i="4"/>
  <c r="AF9" i="4" s="1"/>
  <c r="AG9" i="4" s="1"/>
  <c r="S5" i="9" s="1"/>
  <c r="AM9" i="4"/>
  <c r="AR9" i="4"/>
  <c r="S9" i="4"/>
  <c r="P9" i="4"/>
  <c r="Q9" i="4"/>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AD10" i="9"/>
  <c r="R10" i="9"/>
  <c r="AK9" i="4"/>
  <c r="R9" i="9"/>
  <c r="R8" i="9"/>
  <c r="R6" i="9"/>
  <c r="AM6" i="9"/>
  <c r="AI14" i="19"/>
  <c r="AJ14" i="19" s="1"/>
  <c r="K13" i="9"/>
  <c r="X13" i="9"/>
  <c r="AF13" i="9"/>
  <c r="AO13" i="9"/>
  <c r="K8" i="9"/>
  <c r="X9" i="9"/>
  <c r="K9" i="9"/>
  <c r="AF9" i="9"/>
  <c r="K7" i="9"/>
  <c r="AO7" i="9"/>
  <c r="S18" i="2"/>
  <c r="T17" i="2"/>
  <c r="L14" i="19"/>
  <c r="X14" i="19"/>
  <c r="AF5" i="9"/>
  <c r="AA14" i="19"/>
  <c r="X6" i="9"/>
  <c r="K6" i="9"/>
  <c r="K11" i="9"/>
  <c r="X11" i="9"/>
  <c r="AO10" i="9"/>
  <c r="V12" i="16"/>
  <c r="AF10" i="9"/>
  <c r="AO5" i="9"/>
  <c r="W10" i="16" l="1"/>
  <c r="W11" i="16" s="1"/>
  <c r="X9" i="16"/>
  <c r="V9" i="4"/>
  <c r="W9" i="4" s="1"/>
  <c r="Y9" i="4" s="1"/>
  <c r="AL5" i="9" s="1"/>
  <c r="P15" i="19"/>
  <c r="AC16" i="19"/>
  <c r="AD16" i="19" s="1"/>
  <c r="AG16" i="19" s="1"/>
  <c r="AH16" i="19" s="1"/>
  <c r="AF16" i="19" s="1"/>
  <c r="Q16" i="19"/>
  <c r="M16" i="19"/>
  <c r="AA9" i="4"/>
  <c r="AB9" i="4" s="1"/>
  <c r="R5" i="9" s="1"/>
  <c r="AA15" i="19"/>
  <c r="AB15" i="19" s="1"/>
  <c r="AP9" i="4"/>
  <c r="AQ9" i="4" s="1"/>
  <c r="AS9" i="4" s="1"/>
  <c r="W16" i="19"/>
  <c r="AE16" i="19"/>
  <c r="Y16" i="19"/>
  <c r="Z16" i="19"/>
  <c r="U17" i="19"/>
  <c r="V17" i="19" s="1"/>
  <c r="AI15" i="19"/>
  <c r="AJ15" i="19" s="1"/>
  <c r="L15" i="19"/>
  <c r="X15" i="19"/>
  <c r="N16" i="19"/>
  <c r="Q5" i="9"/>
  <c r="Z9" i="4"/>
  <c r="AC5" i="9" s="1"/>
  <c r="AJ9" i="4"/>
  <c r="AE5" i="9" s="1"/>
  <c r="AI9" i="4"/>
  <c r="AN5" i="9" s="1"/>
  <c r="AL9" i="4"/>
  <c r="AN9" i="4" s="1"/>
  <c r="S19" i="2"/>
  <c r="T18" i="2"/>
  <c r="W12" i="16"/>
  <c r="V13" i="16"/>
  <c r="P5" i="9"/>
  <c r="AB14" i="19"/>
  <c r="X10" i="16" l="1"/>
  <c r="N16" i="2" s="1"/>
  <c r="N15" i="2"/>
  <c r="K17" i="19" s="1"/>
  <c r="X11" i="16"/>
  <c r="Q17" i="19"/>
  <c r="M17" i="19"/>
  <c r="O17" i="19" s="1"/>
  <c r="S16" i="19"/>
  <c r="AA16" i="19"/>
  <c r="AB16" i="19" s="1"/>
  <c r="AI16" i="19"/>
  <c r="AJ16" i="19" s="1"/>
  <c r="L16" i="19"/>
  <c r="X16" i="19"/>
  <c r="Y17" i="19"/>
  <c r="AE17" i="19"/>
  <c r="W17" i="19"/>
  <c r="Z17" i="19"/>
  <c r="N17" i="19"/>
  <c r="AT9" i="4"/>
  <c r="AO9" i="4"/>
  <c r="AE9" i="4"/>
  <c r="AD5" i="9" s="1"/>
  <c r="AD9" i="4"/>
  <c r="AM5" i="9" s="1"/>
  <c r="P6" i="9"/>
  <c r="T19" i="2"/>
  <c r="S20" i="2"/>
  <c r="V14" i="16"/>
  <c r="W13" i="16"/>
  <c r="N17" i="2" l="1"/>
  <c r="X12" i="16"/>
  <c r="AA17" i="19"/>
  <c r="AB17" i="19" s="1"/>
  <c r="AC17" i="19"/>
  <c r="AD17" i="19" s="1"/>
  <c r="AG17" i="19" s="1"/>
  <c r="AH17" i="19" s="1"/>
  <c r="AF17" i="19" s="1"/>
  <c r="AI17" i="19" s="1"/>
  <c r="AJ17" i="19" s="1"/>
  <c r="P16" i="19"/>
  <c r="S17" i="19" s="1"/>
  <c r="P17" i="19" s="1"/>
  <c r="L17" i="19"/>
  <c r="X17" i="19"/>
  <c r="P7" i="9"/>
  <c r="S21" i="2"/>
  <c r="T21" i="2" s="1"/>
  <c r="T20" i="2"/>
  <c r="W14" i="16"/>
  <c r="V15" i="16"/>
  <c r="X13" i="16" l="1"/>
  <c r="N18" i="2"/>
  <c r="W15" i="16"/>
  <c r="V16" i="16"/>
  <c r="X14" i="16" l="1"/>
  <c r="N19" i="2"/>
  <c r="P8" i="9"/>
  <c r="W16" i="16"/>
  <c r="V17" i="16"/>
  <c r="X15" i="16" l="1"/>
  <c r="N20" i="2"/>
  <c r="P9" i="9"/>
  <c r="P10" i="9"/>
  <c r="W17" i="16"/>
  <c r="V18" i="16"/>
  <c r="N21" i="2" l="1"/>
  <c r="X16" i="16"/>
  <c r="P11" i="9"/>
  <c r="W18" i="16"/>
  <c r="V19" i="16"/>
  <c r="X17" i="16" l="1"/>
  <c r="N22" i="2"/>
  <c r="P12" i="9"/>
  <c r="W19" i="16"/>
  <c r="V20" i="16"/>
  <c r="X18" i="16" l="1"/>
  <c r="N23" i="2"/>
  <c r="P13" i="9"/>
  <c r="W20" i="16"/>
  <c r="V21" i="16"/>
  <c r="N24" i="2" l="1"/>
  <c r="X19" i="16"/>
  <c r="P14" i="9"/>
  <c r="W21" i="16"/>
  <c r="V22" i="16"/>
  <c r="X20" i="16" l="1"/>
  <c r="N25" i="2"/>
  <c r="P15" i="9"/>
  <c r="V23" i="16"/>
  <c r="W22" i="16"/>
  <c r="N26" i="2" l="1"/>
  <c r="X21" i="16"/>
  <c r="N27" i="2" s="1"/>
  <c r="P16" i="9"/>
  <c r="W23" i="16"/>
  <c r="V24" i="16"/>
  <c r="X22" i="16" l="1"/>
  <c r="P17" i="9"/>
  <c r="W24" i="16"/>
  <c r="V25" i="16"/>
  <c r="N28" i="2" l="1"/>
  <c r="X23" i="16"/>
  <c r="P18" i="9"/>
  <c r="W25" i="16"/>
  <c r="V26" i="16"/>
  <c r="N29" i="2" l="1"/>
  <c r="X24" i="16"/>
  <c r="P19" i="9"/>
  <c r="W26" i="16"/>
  <c r="V27" i="16"/>
  <c r="X25" i="16" l="1"/>
  <c r="N30" i="2"/>
  <c r="P20" i="9"/>
  <c r="W27" i="16"/>
  <c r="V28" i="16"/>
  <c r="X26" i="16" l="1"/>
  <c r="N31" i="2"/>
  <c r="P21" i="9"/>
  <c r="W28" i="16"/>
  <c r="V29" i="16"/>
  <c r="N32" i="2" l="1"/>
  <c r="X27" i="16"/>
  <c r="P22" i="9"/>
  <c r="W29" i="16"/>
  <c r="V30" i="16"/>
  <c r="N33" i="2" l="1"/>
  <c r="X28" i="16"/>
  <c r="V31" i="16"/>
  <c r="W30" i="16"/>
  <c r="X29" i="16" l="1"/>
  <c r="N34" i="2"/>
  <c r="W31" i="16"/>
  <c r="V32" i="16"/>
  <c r="N35" i="2" l="1"/>
  <c r="X30" i="16"/>
  <c r="W32" i="16"/>
  <c r="V33" i="16"/>
  <c r="N36" i="2" l="1"/>
  <c r="X31" i="16"/>
  <c r="W33" i="16"/>
  <c r="V34" i="16"/>
  <c r="N37" i="2" l="1"/>
  <c r="X32" i="16"/>
  <c r="N38" i="2" s="1"/>
  <c r="W34" i="16"/>
  <c r="X34" i="16" s="1"/>
  <c r="V35" i="16"/>
  <c r="X33" i="16" l="1"/>
  <c r="N39" i="2" s="1"/>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W57" i="16"/>
  <c r="X57" i="16" s="1"/>
  <c r="V58" i="16"/>
  <c r="N63" i="2" l="1"/>
  <c r="W58" i="16"/>
  <c r="X58" i="16" s="1"/>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W70" i="16"/>
  <c r="X70" i="16" s="1"/>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N86" i="2" l="1"/>
  <c r="W81" i="16"/>
  <c r="X81" i="16" s="1"/>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N129" i="2" l="1"/>
  <c r="W124" i="16"/>
  <c r="X124" i="16" s="1"/>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N177" i="2" l="1"/>
  <c r="W172" i="16"/>
  <c r="X172" i="16" s="1"/>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W221" i="16"/>
  <c r="X221" i="16" s="1"/>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W269" i="16"/>
  <c r="X269" i="16" s="1"/>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W318" i="16"/>
  <c r="X318" i="16" s="1"/>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<sst xmlns="http://schemas.openxmlformats.org/spreadsheetml/2006/main" count="1981" uniqueCount="1142">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</sst>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586740</xdr:colOff>
          <xdr:row>3</xdr:row>
          <xdr:rowOff>137160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586740</xdr:colOff>
          <xdr:row>5</xdr:row>
          <xdr:rowOff>106680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7620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533400</xdr:colOff>
          <xdr:row>4</xdr:row>
          <xdr:rowOff>7620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1125</v>
      </c>
      <c r="C98" s="354" t="s">
        <v>1127</v>
      </c>
    </row>
    <row r="99" spans="2:3" x14ac:dyDescent="0.25">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5">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5">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5">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5">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5">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5">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5">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5">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5">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5">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5">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5">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5">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5">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5">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5">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5">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5">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5">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5">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5">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5">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5">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5">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5">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5">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5">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5">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5">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5">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5">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5">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5">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5">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5">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5">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5">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5">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5">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5">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5">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5">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5">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5">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5">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5">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5">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5">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5">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5">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5">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5">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5">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5">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5">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5">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5">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5">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5">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5">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5">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5">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5">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5">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5">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5">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5">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5">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5">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5">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5">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5">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5">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5">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5">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5">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5">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5">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5">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5">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5">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5">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5">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5">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5">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5">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5">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5">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5">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5">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5">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5">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5">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5">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5">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5">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5">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5">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5">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5">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5">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5">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5">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5">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5">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5">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5">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5">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5">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5">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5">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5">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5">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5">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5">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5">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5">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5">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5">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5">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5">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5">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5">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5">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5">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5">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5">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5">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5">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5">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5">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5">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5">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5">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5">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5">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5">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5">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5">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5">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5">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5">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5">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5">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5">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5">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5">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5">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5">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5">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5">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5">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5">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5">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5">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5">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5">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5">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5">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5">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5">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5">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5">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5">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5">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5">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5">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5">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5">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5">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5">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5">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5">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5">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5">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5">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5">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5">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5">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5">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5">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5">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5">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5">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5">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5">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5">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5">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5">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5">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5">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5">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5">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5">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5">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5">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5">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5">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5">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5">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5">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5">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5">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5">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5">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5">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5">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5">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5">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5">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5">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5">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5">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5">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5">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5">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5">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5">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5">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5">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5">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5">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5">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5">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5">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5">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5">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5">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5">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5">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5">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5">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5">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5">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5">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5">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5">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5">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5">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5">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5">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5">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5">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5">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5">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5">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5">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5">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5">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5">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5">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5">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5">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5">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5">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5">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5">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5">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5">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5">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5">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5">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5">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5">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5">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5">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5">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5">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5">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5">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5">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5">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5">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5">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5">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5">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5">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5">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5">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5">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5">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5">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5">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5">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5">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5">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5">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5">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5">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5">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5">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5">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5">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5">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5">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5">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5">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5">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5">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5">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5">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5">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5">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5">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5">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5">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5">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5">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5">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5">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5">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5">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5">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5">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1128</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1129</v>
      </c>
      <c r="C33" s="723" t="s">
        <v>1130</v>
      </c>
    </row>
    <row r="34" spans="2:7" x14ac:dyDescent="0.25">
      <c r="B34" s="90"/>
    </row>
    <row r="35" spans="2:7" ht="62.25" customHeight="1" x14ac:dyDescent="0.25">
      <c r="B35" s="724" t="s">
        <v>1131</v>
      </c>
      <c r="C35" s="723" t="s">
        <v>1132</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topLeftCell="A166" zoomScaleNormal="100" workbookViewId="0">
      <selection activeCell="B12" sqref="B12:H177"/>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Sun</v>
      </c>
      <c r="B12" s="15">
        <v>44549</v>
      </c>
      <c r="C12" s="16">
        <v>0.16666666666666666</v>
      </c>
      <c r="D12" s="6">
        <v>23.9</v>
      </c>
      <c r="E12" s="6">
        <v>24.2</v>
      </c>
      <c r="F12" s="6">
        <v>36</v>
      </c>
      <c r="G12" s="6">
        <v>16</v>
      </c>
      <c r="H12" s="6">
        <v>8.6999999999999993</v>
      </c>
      <c r="I12" s="6"/>
      <c r="J12" s="6"/>
      <c r="K12" s="6"/>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5">
      <c r="A13" s="318" t="str">
        <f>TEXT(B13,"ddd")</f>
        <v>Sun</v>
      </c>
      <c r="B13" s="15">
        <v>44549</v>
      </c>
      <c r="C13" s="16">
        <v>0.20833333333333334</v>
      </c>
      <c r="D13" s="6">
        <v>23.6</v>
      </c>
      <c r="E13" s="6">
        <v>24.4</v>
      </c>
      <c r="F13" s="6">
        <v>312</v>
      </c>
      <c r="G13" s="6">
        <v>13</v>
      </c>
      <c r="H13" s="6">
        <v>8.6999999999999993</v>
      </c>
      <c r="I13" s="6"/>
      <c r="J13" s="6"/>
      <c r="K13" s="6"/>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5">
      <c r="A14" s="318" t="str">
        <f t="shared" ref="A14:A77" si="5">TEXT(B14,"ddd")</f>
        <v>Sun</v>
      </c>
      <c r="B14" s="15">
        <v>44549</v>
      </c>
      <c r="C14" s="16">
        <v>0.25</v>
      </c>
      <c r="D14" s="6">
        <v>22.7</v>
      </c>
      <c r="E14" s="6">
        <v>27.3</v>
      </c>
      <c r="F14" s="6">
        <v>336</v>
      </c>
      <c r="G14" s="6">
        <v>16</v>
      </c>
      <c r="H14" s="6">
        <v>8.6999999999999993</v>
      </c>
      <c r="I14" s="6"/>
      <c r="J14" s="6"/>
      <c r="K14" s="6"/>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5">
      <c r="A15" s="318" t="str">
        <f t="shared" si="5"/>
        <v>Sun</v>
      </c>
      <c r="B15" s="15">
        <v>44549</v>
      </c>
      <c r="C15" s="16">
        <v>0.29166666666666669</v>
      </c>
      <c r="D15" s="6">
        <v>23</v>
      </c>
      <c r="E15" s="6">
        <v>28.2</v>
      </c>
      <c r="F15" s="6">
        <v>2</v>
      </c>
      <c r="G15" s="6">
        <v>25</v>
      </c>
      <c r="H15" s="6">
        <v>8.6999999999999993</v>
      </c>
      <c r="I15" s="6"/>
      <c r="J15" s="6"/>
      <c r="K15" s="6"/>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5">
      <c r="A16" s="318" t="str">
        <f t="shared" si="5"/>
        <v>Sun</v>
      </c>
      <c r="B16" s="15">
        <v>44549</v>
      </c>
      <c r="C16" s="16">
        <v>0.33333333333333331</v>
      </c>
      <c r="D16" s="6">
        <v>25.3</v>
      </c>
      <c r="E16" s="6">
        <v>26</v>
      </c>
      <c r="F16" s="6">
        <v>0</v>
      </c>
      <c r="G16" s="6">
        <v>32</v>
      </c>
      <c r="H16" s="6">
        <v>8.6999999999999993</v>
      </c>
      <c r="I16" s="6"/>
      <c r="J16" s="6"/>
      <c r="K16" s="6"/>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5">
      <c r="A17" s="318" t="str">
        <f t="shared" si="5"/>
        <v>Sun</v>
      </c>
      <c r="B17" s="15">
        <v>44549</v>
      </c>
      <c r="C17" s="16">
        <v>0.375</v>
      </c>
      <c r="D17" s="6">
        <v>27.7</v>
      </c>
      <c r="E17" s="6">
        <v>28</v>
      </c>
      <c r="F17" s="6">
        <v>328</v>
      </c>
      <c r="G17" s="6">
        <v>27</v>
      </c>
      <c r="H17" s="6">
        <v>8.6999999999999993</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5">
      <c r="A18" s="318" t="str">
        <f t="shared" si="5"/>
        <v>Sun</v>
      </c>
      <c r="B18" s="15">
        <v>44549</v>
      </c>
      <c r="C18" s="16">
        <v>0.41666666666666669</v>
      </c>
      <c r="D18" s="6">
        <v>28.9</v>
      </c>
      <c r="E18" s="6">
        <v>31.9</v>
      </c>
      <c r="F18" s="6">
        <v>328</v>
      </c>
      <c r="G18" s="6">
        <v>42</v>
      </c>
      <c r="H18" s="6">
        <v>8.6999999999999993</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5">
      <c r="A19" s="318" t="str">
        <f t="shared" si="5"/>
        <v>Sun</v>
      </c>
      <c r="B19" s="15">
        <v>44549</v>
      </c>
      <c r="C19" s="16">
        <v>0.45833333333333331</v>
      </c>
      <c r="D19" s="6">
        <v>29.1</v>
      </c>
      <c r="E19" s="6">
        <v>35.1</v>
      </c>
      <c r="F19" s="6">
        <v>326</v>
      </c>
      <c r="G19" s="6">
        <v>43</v>
      </c>
      <c r="H19" s="6">
        <v>8.6999999999999993</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5">
      <c r="A20" s="318" t="str">
        <f t="shared" si="5"/>
        <v>Sun</v>
      </c>
      <c r="B20" s="15">
        <v>44549</v>
      </c>
      <c r="C20" s="16">
        <v>0.5</v>
      </c>
      <c r="D20" s="6">
        <v>29.1</v>
      </c>
      <c r="E20" s="6">
        <v>39</v>
      </c>
      <c r="F20" s="6">
        <v>292</v>
      </c>
      <c r="G20" s="6">
        <v>45</v>
      </c>
      <c r="H20" s="6">
        <v>8.6999999999999993</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5">
      <c r="A21" s="318" t="str">
        <f t="shared" si="5"/>
        <v>Sun</v>
      </c>
      <c r="B21" s="15">
        <v>44549</v>
      </c>
      <c r="C21" s="16">
        <v>0.54166666666666663</v>
      </c>
      <c r="D21" s="6">
        <v>29.1</v>
      </c>
      <c r="E21" s="6">
        <v>38.200000000000003</v>
      </c>
      <c r="F21" s="6">
        <v>285</v>
      </c>
      <c r="G21" s="6">
        <v>40</v>
      </c>
      <c r="H21" s="6">
        <v>8.8000000000000007</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5">
      <c r="A22" s="318" t="str">
        <f t="shared" si="5"/>
        <v>Sun</v>
      </c>
      <c r="B22" s="15">
        <v>44549</v>
      </c>
      <c r="C22" s="16">
        <v>0.58333333333333337</v>
      </c>
      <c r="D22" s="6">
        <v>30.8</v>
      </c>
      <c r="E22" s="6">
        <v>35.799999999999997</v>
      </c>
      <c r="F22" s="6">
        <v>277</v>
      </c>
      <c r="G22" s="6">
        <v>42</v>
      </c>
      <c r="H22" s="6">
        <v>8.8000000000000007</v>
      </c>
      <c r="I22" s="6"/>
      <c r="J22" s="6"/>
      <c r="K22" s="6"/>
      <c r="L22" s="20"/>
      <c r="M22" s="84">
        <f t="shared" si="0"/>
        <v>277</v>
      </c>
      <c r="N22" s="248">
        <f>RHcount!X16</f>
        <v>0</v>
      </c>
      <c r="O22" s="17"/>
      <c r="P22" s="17"/>
      <c r="Q22" s="17"/>
      <c r="R22" s="17"/>
      <c r="U22" s="5" t="s">
        <v>107</v>
      </c>
      <c r="V22" s="83">
        <v>202.5</v>
      </c>
    </row>
    <row r="23" spans="1:22" x14ac:dyDescent="0.25">
      <c r="A23" s="318" t="str">
        <f t="shared" si="5"/>
        <v>Sun</v>
      </c>
      <c r="B23" s="15">
        <v>44549</v>
      </c>
      <c r="C23" s="16">
        <v>0.625</v>
      </c>
      <c r="D23" s="6">
        <v>31.1</v>
      </c>
      <c r="E23" s="6">
        <v>29.9</v>
      </c>
      <c r="F23" s="6">
        <v>258</v>
      </c>
      <c r="G23" s="6">
        <v>37</v>
      </c>
      <c r="H23" s="6">
        <v>8.8000000000000007</v>
      </c>
      <c r="I23" s="6"/>
      <c r="J23" s="6"/>
      <c r="K23" s="6"/>
      <c r="L23" s="20"/>
      <c r="M23" s="84">
        <f t="shared" si="0"/>
        <v>258</v>
      </c>
      <c r="N23" s="248">
        <f>RHcount!X17</f>
        <v>0</v>
      </c>
      <c r="O23" s="17"/>
      <c r="P23" s="17"/>
      <c r="Q23" s="17"/>
      <c r="R23" s="17"/>
      <c r="U23" s="5" t="s">
        <v>95</v>
      </c>
      <c r="V23" s="83">
        <v>225</v>
      </c>
    </row>
    <row r="24" spans="1:22" x14ac:dyDescent="0.25">
      <c r="A24" s="318" t="str">
        <f t="shared" si="5"/>
        <v>Sun</v>
      </c>
      <c r="B24" s="15">
        <v>44549</v>
      </c>
      <c r="C24" s="16">
        <v>0.66666666666666663</v>
      </c>
      <c r="D24" s="6">
        <v>32.4</v>
      </c>
      <c r="E24" s="6">
        <v>25.1</v>
      </c>
      <c r="F24" s="6">
        <v>261</v>
      </c>
      <c r="G24" s="6">
        <v>37</v>
      </c>
      <c r="H24" s="6">
        <v>8.8000000000000007</v>
      </c>
      <c r="I24" s="6"/>
      <c r="J24" s="6"/>
      <c r="K24" s="6"/>
      <c r="L24" s="20"/>
      <c r="M24" s="84">
        <f t="shared" si="0"/>
        <v>261</v>
      </c>
      <c r="N24" s="248">
        <f>RHcount!X18</f>
        <v>0</v>
      </c>
      <c r="O24" s="17"/>
      <c r="P24" s="17"/>
      <c r="Q24" s="17"/>
      <c r="R24" s="17"/>
      <c r="U24" s="5" t="s">
        <v>109</v>
      </c>
      <c r="V24" s="83">
        <v>270</v>
      </c>
    </row>
    <row r="25" spans="1:22" x14ac:dyDescent="0.25">
      <c r="A25" s="318" t="str">
        <f t="shared" si="5"/>
        <v>Sun</v>
      </c>
      <c r="B25" s="15">
        <v>44549</v>
      </c>
      <c r="C25" s="16">
        <v>0.70833333333333337</v>
      </c>
      <c r="D25" s="6">
        <v>32.299999999999997</v>
      </c>
      <c r="E25" s="6">
        <v>22.5</v>
      </c>
      <c r="F25" s="6">
        <v>243</v>
      </c>
      <c r="G25" s="6">
        <v>34</v>
      </c>
      <c r="H25" s="6">
        <v>8.8000000000000007</v>
      </c>
      <c r="I25" s="6"/>
      <c r="J25" s="6"/>
      <c r="K25" s="6"/>
      <c r="L25" s="20"/>
      <c r="M25" s="84">
        <f t="shared" si="0"/>
        <v>243</v>
      </c>
      <c r="N25" s="248">
        <f>RHcount!X19</f>
        <v>0</v>
      </c>
      <c r="O25" s="17"/>
      <c r="P25" s="17"/>
      <c r="Q25" s="17"/>
      <c r="R25" s="17"/>
      <c r="U25" s="5" t="s">
        <v>110</v>
      </c>
      <c r="V25" s="83">
        <v>292.5</v>
      </c>
    </row>
    <row r="26" spans="1:22" x14ac:dyDescent="0.25">
      <c r="A26" s="318" t="str">
        <f t="shared" si="5"/>
        <v>Sun</v>
      </c>
      <c r="B26" s="15">
        <v>44549</v>
      </c>
      <c r="C26" s="16">
        <v>0.75</v>
      </c>
      <c r="D26" s="6">
        <v>31.4</v>
      </c>
      <c r="E26" s="6">
        <v>21.8</v>
      </c>
      <c r="F26" s="6">
        <v>237</v>
      </c>
      <c r="G26" s="6">
        <v>37</v>
      </c>
      <c r="H26" s="6">
        <v>8.8000000000000007</v>
      </c>
      <c r="I26" s="6"/>
      <c r="J26" s="6"/>
      <c r="K26" s="6"/>
      <c r="L26" s="20"/>
      <c r="M26" s="84">
        <f t="shared" si="0"/>
        <v>237</v>
      </c>
      <c r="N26" s="248">
        <f>RHcount!X20</f>
        <v>0</v>
      </c>
      <c r="O26" s="17"/>
      <c r="P26" s="17"/>
      <c r="Q26" s="17"/>
      <c r="R26" s="17"/>
      <c r="U26" s="5" t="s">
        <v>108</v>
      </c>
      <c r="V26" s="83">
        <v>247.5</v>
      </c>
    </row>
    <row r="27" spans="1:22" x14ac:dyDescent="0.25">
      <c r="A27" s="318" t="str">
        <f t="shared" si="5"/>
        <v>Sun</v>
      </c>
      <c r="B27" s="15">
        <v>44549</v>
      </c>
      <c r="C27" s="16">
        <v>0.79166666666666663</v>
      </c>
      <c r="D27" s="6">
        <v>30.1</v>
      </c>
      <c r="E27" s="6">
        <v>21.8</v>
      </c>
      <c r="F27" s="6">
        <v>226</v>
      </c>
      <c r="G27" s="6">
        <v>37</v>
      </c>
      <c r="H27" s="6">
        <v>8.8000000000000007</v>
      </c>
      <c r="I27" s="6"/>
      <c r="J27" s="6"/>
      <c r="K27" s="6"/>
      <c r="L27" s="20"/>
      <c r="M27" s="84">
        <f t="shared" si="0"/>
        <v>226</v>
      </c>
      <c r="N27" s="248">
        <f>RHcount!X21</f>
        <v>0</v>
      </c>
      <c r="O27" s="17"/>
      <c r="P27" s="17"/>
      <c r="Q27" s="17"/>
      <c r="R27" s="17"/>
      <c r="S27" s="17"/>
      <c r="T27" s="17"/>
      <c r="U27" s="4"/>
      <c r="V27" s="4"/>
    </row>
    <row r="28" spans="1:22" x14ac:dyDescent="0.25">
      <c r="A28" s="318" t="str">
        <f t="shared" si="5"/>
        <v>Sun</v>
      </c>
      <c r="B28" s="15">
        <v>44549</v>
      </c>
      <c r="C28" s="16">
        <v>0.83333333333333337</v>
      </c>
      <c r="D28" s="6">
        <v>27.2</v>
      </c>
      <c r="E28" s="6">
        <v>25.6</v>
      </c>
      <c r="F28" s="6">
        <v>215</v>
      </c>
      <c r="G28" s="6">
        <v>33</v>
      </c>
      <c r="H28" s="6">
        <v>8.8000000000000007</v>
      </c>
      <c r="I28" s="6"/>
      <c r="J28" s="6"/>
      <c r="K28" s="6"/>
      <c r="L28" s="20"/>
      <c r="M28" s="84">
        <f t="shared" si="0"/>
        <v>215</v>
      </c>
      <c r="N28" s="248">
        <f>RHcount!X22</f>
        <v>0</v>
      </c>
      <c r="O28" s="17"/>
      <c r="P28" s="17"/>
      <c r="Q28" s="17"/>
      <c r="R28" s="17"/>
      <c r="S28" s="17"/>
      <c r="T28" s="17"/>
      <c r="U28" s="4"/>
      <c r="V28" s="4"/>
    </row>
    <row r="29" spans="1:22" x14ac:dyDescent="0.25">
      <c r="A29" s="318" t="str">
        <f t="shared" si="5"/>
        <v>Sun</v>
      </c>
      <c r="B29" s="15">
        <v>44549</v>
      </c>
      <c r="C29" s="16">
        <v>0.875</v>
      </c>
      <c r="D29" s="6">
        <v>24.6</v>
      </c>
      <c r="E29" s="6">
        <v>25.8</v>
      </c>
      <c r="F29" s="6">
        <v>210</v>
      </c>
      <c r="G29" s="6">
        <v>34</v>
      </c>
      <c r="H29" s="6">
        <v>8.8000000000000007</v>
      </c>
      <c r="I29" s="6"/>
      <c r="J29" s="6"/>
      <c r="K29" s="6"/>
      <c r="L29" s="20"/>
      <c r="M29" s="84">
        <f t="shared" si="0"/>
        <v>210</v>
      </c>
      <c r="N29" s="248">
        <f>RHcount!X23</f>
        <v>0</v>
      </c>
      <c r="O29" s="17"/>
      <c r="P29" s="17"/>
      <c r="Q29" s="17"/>
      <c r="R29" s="17"/>
      <c r="S29" s="17"/>
      <c r="T29" s="17"/>
      <c r="U29" s="4"/>
      <c r="V29" s="4"/>
    </row>
    <row r="30" spans="1:22" x14ac:dyDescent="0.25">
      <c r="A30" s="318" t="str">
        <f t="shared" si="5"/>
        <v>Sun</v>
      </c>
      <c r="B30" s="15">
        <v>44549</v>
      </c>
      <c r="C30" s="16">
        <v>0.91666666666666663</v>
      </c>
      <c r="D30" s="6">
        <v>21.9</v>
      </c>
      <c r="E30" s="6">
        <v>28.9</v>
      </c>
      <c r="F30" s="6">
        <v>210</v>
      </c>
      <c r="G30" s="6">
        <v>33</v>
      </c>
      <c r="H30" s="6">
        <v>8.8000000000000007</v>
      </c>
      <c r="I30" s="6"/>
      <c r="J30" s="6"/>
      <c r="K30" s="6"/>
      <c r="L30" s="20"/>
      <c r="M30" s="84">
        <f t="shared" si="0"/>
        <v>210</v>
      </c>
      <c r="N30" s="248">
        <f>RHcount!X24</f>
        <v>0</v>
      </c>
      <c r="O30" s="17"/>
      <c r="P30" s="17"/>
      <c r="Q30" s="17"/>
      <c r="R30" s="17"/>
      <c r="S30" s="17"/>
      <c r="T30" s="17"/>
      <c r="U30" s="4"/>
      <c r="V30" s="4"/>
    </row>
    <row r="31" spans="1:22" x14ac:dyDescent="0.25">
      <c r="A31" s="318" t="str">
        <f t="shared" si="5"/>
        <v>Sun</v>
      </c>
      <c r="B31" s="15">
        <v>44549</v>
      </c>
      <c r="C31" s="16">
        <v>0.95833333333333337</v>
      </c>
      <c r="D31" s="6">
        <v>19.7</v>
      </c>
      <c r="E31" s="6">
        <v>31.5</v>
      </c>
      <c r="F31" s="6">
        <v>205</v>
      </c>
      <c r="G31" s="6">
        <v>29</v>
      </c>
      <c r="H31" s="6">
        <v>8.8000000000000007</v>
      </c>
      <c r="I31" s="6"/>
      <c r="J31" s="6"/>
      <c r="K31" s="6"/>
      <c r="L31" s="20"/>
      <c r="M31" s="84">
        <f t="shared" si="0"/>
        <v>205</v>
      </c>
      <c r="N31" s="248">
        <f>RHcount!X25</f>
        <v>0</v>
      </c>
      <c r="O31" s="17"/>
      <c r="P31" s="17"/>
      <c r="Q31" s="17"/>
      <c r="R31" s="17"/>
      <c r="S31" s="17"/>
      <c r="T31" s="17"/>
      <c r="U31" s="4"/>
      <c r="V31" s="4"/>
    </row>
    <row r="32" spans="1:22" x14ac:dyDescent="0.25">
      <c r="A32" s="318" t="str">
        <f t="shared" si="5"/>
        <v>Mon</v>
      </c>
      <c r="B32" s="15">
        <v>44550</v>
      </c>
      <c r="C32" s="16">
        <v>0</v>
      </c>
      <c r="D32" s="6">
        <v>18.899999999999999</v>
      </c>
      <c r="E32" s="6">
        <v>32.4</v>
      </c>
      <c r="F32" s="6">
        <v>203</v>
      </c>
      <c r="G32" s="6">
        <v>24</v>
      </c>
      <c r="H32" s="6">
        <v>8.8000000000000007</v>
      </c>
      <c r="I32" s="6"/>
      <c r="J32" s="6"/>
      <c r="K32" s="6"/>
      <c r="L32" s="20"/>
      <c r="M32" s="84">
        <f t="shared" si="0"/>
        <v>203</v>
      </c>
      <c r="N32" s="248">
        <f>RHcount!X26</f>
        <v>0</v>
      </c>
      <c r="O32" s="17"/>
      <c r="P32" s="17"/>
      <c r="Q32" s="17"/>
      <c r="R32" s="17"/>
      <c r="S32" s="17"/>
      <c r="T32" s="17"/>
      <c r="U32" s="4"/>
      <c r="V32" s="4"/>
    </row>
    <row r="33" spans="1:22" x14ac:dyDescent="0.25">
      <c r="A33" s="318" t="str">
        <f t="shared" si="5"/>
        <v>Mon</v>
      </c>
      <c r="B33" s="15">
        <v>44550</v>
      </c>
      <c r="C33" s="16">
        <v>4.1666666666666664E-2</v>
      </c>
      <c r="D33" s="6">
        <v>17.7</v>
      </c>
      <c r="E33" s="6">
        <v>34.9</v>
      </c>
      <c r="F33" s="6">
        <v>200</v>
      </c>
      <c r="G33" s="6">
        <v>24</v>
      </c>
      <c r="H33" s="6">
        <v>8.8000000000000007</v>
      </c>
      <c r="I33" s="6"/>
      <c r="J33" s="6"/>
      <c r="K33" s="6"/>
      <c r="L33" s="20"/>
      <c r="M33" s="84">
        <f t="shared" si="0"/>
        <v>200</v>
      </c>
      <c r="N33" s="248">
        <f>RHcount!X27</f>
        <v>0</v>
      </c>
      <c r="O33" s="17"/>
      <c r="P33" s="17"/>
      <c r="Q33" s="17"/>
      <c r="R33" s="17"/>
      <c r="S33" s="17"/>
      <c r="T33" s="17"/>
      <c r="U33" s="4"/>
      <c r="V33" s="4"/>
    </row>
    <row r="34" spans="1:22" x14ac:dyDescent="0.25">
      <c r="A34" s="318" t="str">
        <f t="shared" si="5"/>
        <v>Mon</v>
      </c>
      <c r="B34" s="15">
        <v>44550</v>
      </c>
      <c r="C34" s="16">
        <v>8.3333333333333329E-2</v>
      </c>
      <c r="D34" s="6">
        <v>16.399999999999999</v>
      </c>
      <c r="E34" s="6">
        <v>37.6</v>
      </c>
      <c r="F34" s="6">
        <v>197</v>
      </c>
      <c r="G34" s="6">
        <v>21</v>
      </c>
      <c r="H34" s="6">
        <v>8.8000000000000007</v>
      </c>
      <c r="I34" s="6"/>
      <c r="J34" s="6"/>
      <c r="K34" s="6"/>
      <c r="L34" s="20"/>
      <c r="M34" s="84">
        <f t="shared" si="0"/>
        <v>197</v>
      </c>
      <c r="N34" s="248">
        <f>RHcount!X28</f>
        <v>0</v>
      </c>
      <c r="O34" s="17"/>
      <c r="P34" s="17"/>
      <c r="Q34" s="17"/>
      <c r="R34" s="17"/>
      <c r="S34" s="17"/>
      <c r="T34" s="17"/>
      <c r="U34" s="4"/>
      <c r="V34" s="4"/>
    </row>
    <row r="35" spans="1:22" x14ac:dyDescent="0.25">
      <c r="A35" s="318" t="str">
        <f t="shared" si="5"/>
        <v>Mon</v>
      </c>
      <c r="B35" s="15">
        <v>44550</v>
      </c>
      <c r="C35" s="16">
        <v>0.125</v>
      </c>
      <c r="D35" s="6">
        <v>15.4</v>
      </c>
      <c r="E35" s="6">
        <v>41.3</v>
      </c>
      <c r="F35" s="6">
        <v>193</v>
      </c>
      <c r="G35" s="6">
        <v>18</v>
      </c>
      <c r="H35" s="6">
        <v>8.8000000000000007</v>
      </c>
      <c r="I35" s="6"/>
      <c r="J35" s="6"/>
      <c r="K35" s="6"/>
      <c r="L35" s="20"/>
      <c r="M35" s="84">
        <f t="shared" si="0"/>
        <v>193</v>
      </c>
      <c r="N35" s="248">
        <f>RHcount!X29</f>
        <v>0</v>
      </c>
      <c r="O35" s="17"/>
      <c r="P35" s="17"/>
      <c r="Q35" s="17"/>
      <c r="R35" s="17"/>
      <c r="S35" s="17"/>
      <c r="T35" s="17"/>
      <c r="U35" s="4"/>
      <c r="V35" s="4"/>
    </row>
    <row r="36" spans="1:22" x14ac:dyDescent="0.25">
      <c r="A36" s="318" t="str">
        <f t="shared" si="5"/>
        <v>Mon</v>
      </c>
      <c r="B36" s="15">
        <v>44550</v>
      </c>
      <c r="C36" s="16">
        <v>0.16666666666666666</v>
      </c>
      <c r="D36" s="6">
        <v>14.5</v>
      </c>
      <c r="E36" s="6">
        <v>44.7</v>
      </c>
      <c r="F36" s="6">
        <v>190</v>
      </c>
      <c r="G36" s="6">
        <v>15</v>
      </c>
      <c r="H36" s="6">
        <v>8.8000000000000007</v>
      </c>
      <c r="I36" s="6"/>
      <c r="J36" s="6"/>
      <c r="K36" s="6"/>
      <c r="L36" s="20"/>
      <c r="M36" s="84">
        <f t="shared" si="0"/>
        <v>190</v>
      </c>
      <c r="N36" s="248">
        <f>RHcount!X30</f>
        <v>0</v>
      </c>
      <c r="O36" s="17"/>
      <c r="P36" s="17"/>
      <c r="Q36" s="17"/>
      <c r="R36" s="17"/>
      <c r="S36" s="17"/>
      <c r="T36" s="17"/>
      <c r="U36" s="4"/>
      <c r="V36" s="4"/>
    </row>
    <row r="37" spans="1:22" x14ac:dyDescent="0.25">
      <c r="A37" s="318" t="str">
        <f t="shared" si="5"/>
        <v>Mon</v>
      </c>
      <c r="B37" s="15">
        <v>44550</v>
      </c>
      <c r="C37" s="16">
        <v>0.20833333333333334</v>
      </c>
      <c r="D37" s="6">
        <v>13.5</v>
      </c>
      <c r="E37" s="6">
        <v>48.3</v>
      </c>
      <c r="F37" s="6">
        <v>189</v>
      </c>
      <c r="G37" s="6">
        <v>15</v>
      </c>
      <c r="H37" s="6">
        <v>8.8000000000000007</v>
      </c>
      <c r="I37" s="6"/>
      <c r="J37" s="6"/>
      <c r="K37" s="6"/>
      <c r="L37" s="20"/>
      <c r="M37" s="84">
        <f t="shared" si="0"/>
        <v>189</v>
      </c>
      <c r="N37" s="248">
        <f>RHcount!X31</f>
        <v>0</v>
      </c>
      <c r="O37" s="17"/>
      <c r="P37" s="17"/>
      <c r="Q37" s="17"/>
      <c r="R37" s="17"/>
      <c r="S37" s="17"/>
      <c r="T37" s="17"/>
      <c r="U37" s="4"/>
      <c r="V37" s="4"/>
    </row>
    <row r="38" spans="1:22" x14ac:dyDescent="0.25">
      <c r="A38" s="318" t="str">
        <f t="shared" si="5"/>
        <v>Mon</v>
      </c>
      <c r="B38" s="15">
        <v>44550</v>
      </c>
      <c r="C38" s="16">
        <v>0.25</v>
      </c>
      <c r="D38" s="6">
        <v>12.5</v>
      </c>
      <c r="E38" s="6">
        <v>53.1</v>
      </c>
      <c r="F38" s="6">
        <v>185</v>
      </c>
      <c r="G38" s="6">
        <v>14</v>
      </c>
      <c r="H38" s="6">
        <v>8.8000000000000007</v>
      </c>
      <c r="I38" s="6"/>
      <c r="J38" s="6"/>
      <c r="K38" s="6"/>
      <c r="L38" s="20"/>
      <c r="M38" s="84">
        <f t="shared" si="0"/>
        <v>185</v>
      </c>
      <c r="N38" s="248">
        <f>RHcount!X32</f>
        <v>0</v>
      </c>
      <c r="O38" s="17"/>
      <c r="P38" s="17"/>
      <c r="Q38" s="17"/>
      <c r="R38" s="17"/>
      <c r="S38" s="17"/>
      <c r="T38" s="17"/>
      <c r="U38" s="4"/>
      <c r="V38" s="4"/>
    </row>
    <row r="39" spans="1:22" x14ac:dyDescent="0.25">
      <c r="A39" s="318" t="str">
        <f t="shared" si="5"/>
        <v>Mon</v>
      </c>
      <c r="B39" s="15">
        <v>44550</v>
      </c>
      <c r="C39" s="16">
        <v>0.29166666666666669</v>
      </c>
      <c r="D39" s="6">
        <v>13.4</v>
      </c>
      <c r="E39" s="6">
        <v>50.4</v>
      </c>
      <c r="F39" s="6">
        <v>181</v>
      </c>
      <c r="G39" s="6">
        <v>16</v>
      </c>
      <c r="H39" s="6">
        <v>8.8000000000000007</v>
      </c>
      <c r="I39" s="6"/>
      <c r="J39" s="6"/>
      <c r="K39" s="6"/>
      <c r="L39" s="20"/>
      <c r="M39" s="84">
        <f t="shared" si="0"/>
        <v>181</v>
      </c>
      <c r="N39" s="248">
        <f>RHcount!X33</f>
        <v>0</v>
      </c>
      <c r="O39" s="17"/>
      <c r="P39" s="17"/>
      <c r="Q39" s="17"/>
      <c r="R39" s="17"/>
      <c r="S39" s="17"/>
      <c r="T39" s="17"/>
      <c r="U39" s="4"/>
      <c r="V39" s="4"/>
    </row>
    <row r="40" spans="1:22" x14ac:dyDescent="0.25">
      <c r="A40" s="318" t="str">
        <f t="shared" si="5"/>
        <v>Mon</v>
      </c>
      <c r="B40" s="15">
        <v>44550</v>
      </c>
      <c r="C40" s="16">
        <v>0.33333333333333331</v>
      </c>
      <c r="D40" s="6">
        <v>15.8</v>
      </c>
      <c r="E40" s="6">
        <v>44.1</v>
      </c>
      <c r="F40" s="6">
        <v>178</v>
      </c>
      <c r="G40" s="6">
        <v>21</v>
      </c>
      <c r="H40" s="6">
        <v>8.8000000000000007</v>
      </c>
      <c r="I40" s="6"/>
      <c r="J40" s="6"/>
      <c r="K40" s="6"/>
      <c r="L40" s="20"/>
      <c r="M40" s="84">
        <f t="shared" si="0"/>
        <v>178</v>
      </c>
      <c r="N40" s="248">
        <f>RHcount!X34</f>
        <v>0</v>
      </c>
      <c r="O40" s="17"/>
      <c r="P40" s="17"/>
      <c r="Q40" s="17"/>
      <c r="R40" s="17"/>
      <c r="S40" s="17"/>
      <c r="T40" s="17"/>
      <c r="U40" s="4"/>
      <c r="V40" s="4"/>
    </row>
    <row r="41" spans="1:22" x14ac:dyDescent="0.25">
      <c r="A41" s="318" t="str">
        <f t="shared" si="5"/>
        <v>Mon</v>
      </c>
      <c r="B41" s="15">
        <v>44550</v>
      </c>
      <c r="C41" s="16">
        <v>0.375</v>
      </c>
      <c r="D41" s="6">
        <v>17.100000000000001</v>
      </c>
      <c r="E41" s="6">
        <v>39.799999999999997</v>
      </c>
      <c r="F41" s="6">
        <v>177</v>
      </c>
      <c r="G41" s="6">
        <v>14</v>
      </c>
      <c r="H41" s="6">
        <v>8.8000000000000007</v>
      </c>
      <c r="I41" s="6"/>
      <c r="J41" s="6"/>
      <c r="K41" s="6"/>
      <c r="L41" s="20"/>
      <c r="M41" s="84">
        <f t="shared" si="0"/>
        <v>177</v>
      </c>
      <c r="N41" s="248">
        <f>RHcount!X35</f>
        <v>0</v>
      </c>
      <c r="O41" s="17"/>
      <c r="P41" s="17"/>
      <c r="Q41" s="17"/>
      <c r="R41" s="17"/>
      <c r="S41" s="17"/>
      <c r="T41" s="17"/>
      <c r="U41" s="4"/>
      <c r="V41" s="4"/>
    </row>
    <row r="42" spans="1:22" x14ac:dyDescent="0.25">
      <c r="A42" s="318" t="str">
        <f t="shared" si="5"/>
        <v>Mon</v>
      </c>
      <c r="B42" s="15">
        <v>44550</v>
      </c>
      <c r="C42" s="16">
        <v>0.41666666666666669</v>
      </c>
      <c r="D42" s="6">
        <v>19</v>
      </c>
      <c r="E42" s="6">
        <v>33.6</v>
      </c>
      <c r="F42" s="6">
        <v>176</v>
      </c>
      <c r="G42" s="6">
        <v>18</v>
      </c>
      <c r="H42" s="6">
        <v>8.8000000000000007</v>
      </c>
      <c r="I42" s="6"/>
      <c r="J42" s="6"/>
      <c r="K42" s="6"/>
      <c r="L42" s="20"/>
      <c r="M42" s="84">
        <f t="shared" si="0"/>
        <v>176</v>
      </c>
      <c r="N42" s="248">
        <f>RHcount!X36</f>
        <v>0</v>
      </c>
      <c r="O42" s="17"/>
      <c r="P42" s="17"/>
      <c r="Q42" s="17"/>
      <c r="R42" s="17"/>
      <c r="S42" s="17"/>
      <c r="T42" s="17"/>
      <c r="U42" s="4"/>
      <c r="V42" s="4"/>
    </row>
    <row r="43" spans="1:22" x14ac:dyDescent="0.25">
      <c r="A43" s="318" t="str">
        <f t="shared" si="5"/>
        <v>Mon</v>
      </c>
      <c r="B43" s="15">
        <v>44550</v>
      </c>
      <c r="C43" s="16">
        <v>0.45833333333333331</v>
      </c>
      <c r="D43" s="6">
        <v>20.5</v>
      </c>
      <c r="E43" s="6">
        <v>29.9</v>
      </c>
      <c r="F43" s="6">
        <v>166</v>
      </c>
      <c r="G43" s="6">
        <v>16</v>
      </c>
      <c r="H43" s="6">
        <v>8.8000000000000007</v>
      </c>
      <c r="I43" s="6"/>
      <c r="J43" s="6"/>
      <c r="K43" s="6"/>
      <c r="L43" s="20"/>
      <c r="M43" s="84">
        <f t="shared" si="0"/>
        <v>166</v>
      </c>
      <c r="N43" s="248">
        <f>RHcount!X37</f>
        <v>0</v>
      </c>
      <c r="O43" s="17"/>
      <c r="P43" s="17"/>
      <c r="Q43" s="17"/>
      <c r="R43" s="17"/>
      <c r="S43" s="17"/>
      <c r="T43" s="17"/>
      <c r="U43" s="4"/>
      <c r="V43" s="4"/>
    </row>
    <row r="44" spans="1:22" x14ac:dyDescent="0.25">
      <c r="A44" s="318" t="str">
        <f t="shared" si="5"/>
        <v>Mon</v>
      </c>
      <c r="B44" s="15">
        <v>44550</v>
      </c>
      <c r="C44" s="16">
        <v>0.5</v>
      </c>
      <c r="D44" s="6">
        <v>22.3</v>
      </c>
      <c r="E44" s="6">
        <v>25.7</v>
      </c>
      <c r="F44" s="6">
        <v>169</v>
      </c>
      <c r="G44" s="6">
        <v>15</v>
      </c>
      <c r="H44" s="6">
        <v>8.8000000000000007</v>
      </c>
      <c r="I44" s="6"/>
      <c r="J44" s="6"/>
      <c r="K44" s="6"/>
      <c r="L44" s="20"/>
      <c r="M44" s="84">
        <f t="shared" si="0"/>
        <v>169</v>
      </c>
      <c r="N44" s="248">
        <f>RHcount!X38</f>
        <v>0</v>
      </c>
      <c r="O44" s="17"/>
      <c r="P44" s="17"/>
      <c r="Q44" s="17"/>
      <c r="R44" s="17"/>
      <c r="S44" s="17"/>
      <c r="T44" s="17"/>
      <c r="U44" s="4"/>
      <c r="V44" s="4"/>
    </row>
    <row r="45" spans="1:22" x14ac:dyDescent="0.25">
      <c r="A45" s="318" t="str">
        <f t="shared" si="5"/>
        <v>Mon</v>
      </c>
      <c r="B45" s="15">
        <v>44550</v>
      </c>
      <c r="C45" s="16">
        <v>0.54166666666666663</v>
      </c>
      <c r="D45" s="6">
        <v>24</v>
      </c>
      <c r="E45" s="6">
        <v>22.2</v>
      </c>
      <c r="F45" s="6">
        <v>185</v>
      </c>
      <c r="G45" s="6">
        <v>14</v>
      </c>
      <c r="H45" s="6">
        <v>8.8000000000000007</v>
      </c>
      <c r="I45" s="6"/>
      <c r="J45" s="6"/>
      <c r="K45" s="6"/>
      <c r="L45" s="20"/>
      <c r="M45" s="84">
        <f t="shared" si="0"/>
        <v>185</v>
      </c>
      <c r="N45" s="248">
        <f>RHcount!X39</f>
        <v>0</v>
      </c>
      <c r="O45" s="17"/>
      <c r="P45" s="17"/>
      <c r="Q45" s="17"/>
      <c r="R45" s="17"/>
      <c r="S45" s="17"/>
      <c r="T45" s="17"/>
      <c r="U45" s="4"/>
      <c r="V45" s="4"/>
    </row>
    <row r="46" spans="1:22" x14ac:dyDescent="0.25">
      <c r="A46" s="318" t="str">
        <f t="shared" si="5"/>
        <v>Mon</v>
      </c>
      <c r="B46" s="15">
        <v>44550</v>
      </c>
      <c r="C46" s="16">
        <v>0.58333333333333337</v>
      </c>
      <c r="D46" s="6">
        <v>26</v>
      </c>
      <c r="E46" s="6">
        <v>18.8</v>
      </c>
      <c r="F46" s="6">
        <v>199</v>
      </c>
      <c r="G46" s="6">
        <v>13</v>
      </c>
      <c r="H46" s="6">
        <v>8.8000000000000007</v>
      </c>
      <c r="I46" s="6"/>
      <c r="J46" s="6"/>
      <c r="K46" s="6"/>
      <c r="L46" s="20"/>
      <c r="M46" s="84">
        <f t="shared" si="0"/>
        <v>199</v>
      </c>
      <c r="N46" s="248">
        <f>RHcount!X40</f>
        <v>0</v>
      </c>
      <c r="O46" s="17"/>
      <c r="P46" s="17"/>
      <c r="Q46" s="17"/>
      <c r="R46" s="17"/>
      <c r="S46" s="17"/>
      <c r="T46" s="17"/>
      <c r="U46" s="4"/>
      <c r="V46" s="4"/>
    </row>
    <row r="47" spans="1:22" x14ac:dyDescent="0.25">
      <c r="A47" s="318" t="str">
        <f t="shared" si="5"/>
        <v>Mon</v>
      </c>
      <c r="B47" s="15">
        <v>44550</v>
      </c>
      <c r="C47" s="16">
        <v>0.625</v>
      </c>
      <c r="D47" s="6">
        <v>27.5</v>
      </c>
      <c r="E47" s="6">
        <v>16.600000000000001</v>
      </c>
      <c r="F47" s="6">
        <v>204</v>
      </c>
      <c r="G47" s="6">
        <v>11</v>
      </c>
      <c r="H47" s="6">
        <v>8.8000000000000007</v>
      </c>
      <c r="I47" s="6"/>
      <c r="J47" s="6"/>
      <c r="K47" s="6"/>
      <c r="L47" s="20"/>
      <c r="M47" s="84">
        <f t="shared" si="0"/>
        <v>204</v>
      </c>
      <c r="N47" s="248">
        <f>RHcount!X41</f>
        <v>0</v>
      </c>
      <c r="O47" s="17"/>
      <c r="P47" s="17"/>
      <c r="Q47" s="17"/>
      <c r="R47" s="17"/>
      <c r="S47" s="17"/>
      <c r="T47" s="17"/>
      <c r="U47" s="4"/>
      <c r="V47" s="4"/>
    </row>
    <row r="48" spans="1:22" x14ac:dyDescent="0.25">
      <c r="A48" s="318" t="str">
        <f t="shared" si="5"/>
        <v>Mon</v>
      </c>
      <c r="B48" s="15">
        <v>44550</v>
      </c>
      <c r="C48" s="16">
        <v>0.66666666666666663</v>
      </c>
      <c r="D48" s="6">
        <v>28.5</v>
      </c>
      <c r="E48" s="6">
        <v>16</v>
      </c>
      <c r="F48" s="6">
        <v>209</v>
      </c>
      <c r="G48" s="6">
        <v>12</v>
      </c>
      <c r="H48" s="6">
        <v>8.8000000000000007</v>
      </c>
      <c r="I48" s="6"/>
      <c r="J48" s="6"/>
      <c r="K48" s="6"/>
      <c r="L48" s="20"/>
      <c r="M48" s="84">
        <f t="shared" si="0"/>
        <v>209</v>
      </c>
      <c r="N48" s="248">
        <f>RHcount!X42</f>
        <v>0</v>
      </c>
      <c r="O48" s="17"/>
      <c r="P48" s="17"/>
      <c r="Q48" s="17"/>
      <c r="R48" s="17"/>
      <c r="S48" s="17"/>
      <c r="T48" s="17"/>
      <c r="U48" s="4"/>
      <c r="V48" s="4"/>
    </row>
    <row r="49" spans="1:22" x14ac:dyDescent="0.25">
      <c r="A49" s="318" t="str">
        <f t="shared" si="5"/>
        <v>Mon</v>
      </c>
      <c r="B49" s="15">
        <v>44550</v>
      </c>
      <c r="C49" s="16">
        <v>0.70833333333333337</v>
      </c>
      <c r="D49" s="6">
        <v>29.2</v>
      </c>
      <c r="E49" s="6">
        <v>15.3</v>
      </c>
      <c r="F49" s="6">
        <v>212</v>
      </c>
      <c r="G49" s="6">
        <v>11</v>
      </c>
      <c r="H49" s="6">
        <v>8.8000000000000007</v>
      </c>
      <c r="I49" s="6"/>
      <c r="J49" s="6"/>
      <c r="K49" s="6"/>
      <c r="L49" s="20"/>
      <c r="M49" s="84">
        <f t="shared" si="0"/>
        <v>212</v>
      </c>
      <c r="N49" s="248">
        <f>RHcount!X43</f>
        <v>0</v>
      </c>
      <c r="O49" s="17"/>
      <c r="P49" s="17"/>
      <c r="Q49" s="17"/>
      <c r="R49" s="17"/>
      <c r="S49" s="17"/>
      <c r="T49" s="17"/>
      <c r="U49" s="4"/>
      <c r="V49" s="4"/>
    </row>
    <row r="50" spans="1:22" x14ac:dyDescent="0.25">
      <c r="A50" s="318" t="str">
        <f t="shared" si="5"/>
        <v>Mon</v>
      </c>
      <c r="B50" s="15">
        <v>44550</v>
      </c>
      <c r="C50" s="16">
        <v>0.75</v>
      </c>
      <c r="D50" s="6">
        <v>29.1</v>
      </c>
      <c r="E50" s="6">
        <v>15.9</v>
      </c>
      <c r="F50" s="6">
        <v>211</v>
      </c>
      <c r="G50" s="6">
        <v>11</v>
      </c>
      <c r="H50" s="6">
        <v>8.8000000000000007</v>
      </c>
      <c r="I50" s="6"/>
      <c r="J50" s="6"/>
      <c r="K50" s="6"/>
      <c r="L50" s="20"/>
      <c r="M50" s="84">
        <f t="shared" si="0"/>
        <v>211</v>
      </c>
      <c r="N50" s="248">
        <f>RHcount!X44</f>
        <v>0</v>
      </c>
      <c r="O50" s="17"/>
      <c r="P50" s="17"/>
      <c r="Q50" s="17"/>
      <c r="R50" s="17"/>
      <c r="S50" s="17"/>
      <c r="T50" s="17"/>
      <c r="U50" s="4"/>
      <c r="V50" s="4"/>
    </row>
    <row r="51" spans="1:22" x14ac:dyDescent="0.25">
      <c r="A51" s="318" t="str">
        <f t="shared" si="5"/>
        <v>Mon</v>
      </c>
      <c r="B51" s="15">
        <v>44550</v>
      </c>
      <c r="C51" s="16">
        <v>0.79166666666666663</v>
      </c>
      <c r="D51" s="6">
        <v>29.1</v>
      </c>
      <c r="E51" s="6">
        <v>16.2</v>
      </c>
      <c r="F51" s="6">
        <v>208</v>
      </c>
      <c r="G51" s="6">
        <v>10</v>
      </c>
      <c r="H51" s="6">
        <v>8.8000000000000007</v>
      </c>
      <c r="I51" s="6"/>
      <c r="J51" s="6"/>
      <c r="K51" s="6"/>
      <c r="L51" s="20"/>
      <c r="M51" s="84">
        <f t="shared" si="0"/>
        <v>208</v>
      </c>
      <c r="N51" s="248">
        <f>RHcount!X45</f>
        <v>0</v>
      </c>
      <c r="O51" s="17"/>
      <c r="P51" s="17"/>
      <c r="Q51" s="17"/>
      <c r="R51" s="17"/>
      <c r="S51" s="17"/>
      <c r="T51" s="17"/>
      <c r="U51" s="4"/>
      <c r="V51" s="4"/>
    </row>
    <row r="52" spans="1:22" x14ac:dyDescent="0.25">
      <c r="A52" s="318" t="str">
        <f t="shared" si="5"/>
        <v>Mon</v>
      </c>
      <c r="B52" s="15">
        <v>44550</v>
      </c>
      <c r="C52" s="16">
        <v>0.83333333333333337</v>
      </c>
      <c r="D52" s="6">
        <v>28.3</v>
      </c>
      <c r="E52" s="6">
        <v>17.7</v>
      </c>
      <c r="F52" s="6">
        <v>202</v>
      </c>
      <c r="G52" s="6">
        <v>8</v>
      </c>
      <c r="H52" s="6">
        <v>8.8000000000000007</v>
      </c>
      <c r="I52" s="6"/>
      <c r="J52" s="6"/>
      <c r="K52" s="6"/>
      <c r="L52" s="20"/>
      <c r="M52" s="84">
        <f t="shared" si="0"/>
        <v>202</v>
      </c>
      <c r="N52" s="248">
        <f>RHcount!X46</f>
        <v>0</v>
      </c>
      <c r="O52" s="17"/>
      <c r="P52" s="17"/>
      <c r="Q52" s="17"/>
      <c r="R52" s="17"/>
      <c r="S52" s="17"/>
      <c r="T52" s="17"/>
      <c r="U52" s="4"/>
      <c r="V52" s="4"/>
    </row>
    <row r="53" spans="1:22" x14ac:dyDescent="0.25">
      <c r="A53" s="318" t="str">
        <f t="shared" si="5"/>
        <v>Mon</v>
      </c>
      <c r="B53" s="15">
        <v>44550</v>
      </c>
      <c r="C53" s="16">
        <v>0.875</v>
      </c>
      <c r="D53" s="6">
        <v>25.4</v>
      </c>
      <c r="E53" s="6">
        <v>26.2</v>
      </c>
      <c r="F53" s="6">
        <v>207</v>
      </c>
      <c r="G53" s="6">
        <v>6</v>
      </c>
      <c r="H53" s="6">
        <v>8.8000000000000007</v>
      </c>
      <c r="I53" s="6"/>
      <c r="J53" s="6"/>
      <c r="K53" s="6"/>
      <c r="L53" s="20"/>
      <c r="M53" s="84">
        <f t="shared" si="0"/>
        <v>207</v>
      </c>
      <c r="N53" s="248">
        <f>RHcount!X47</f>
        <v>0</v>
      </c>
      <c r="O53" s="17"/>
      <c r="P53" s="17"/>
      <c r="Q53" s="17"/>
      <c r="R53" s="17"/>
      <c r="S53" s="17"/>
      <c r="T53" s="17"/>
      <c r="U53" s="4"/>
      <c r="V53" s="4"/>
    </row>
    <row r="54" spans="1:22" x14ac:dyDescent="0.25">
      <c r="A54" s="318" t="str">
        <f t="shared" si="5"/>
        <v>Mon</v>
      </c>
      <c r="B54" s="15">
        <v>44550</v>
      </c>
      <c r="C54" s="16">
        <v>0.91666666666666663</v>
      </c>
      <c r="D54" s="6">
        <v>22.8</v>
      </c>
      <c r="E54" s="6">
        <v>30.8</v>
      </c>
      <c r="F54" s="6">
        <v>197</v>
      </c>
      <c r="G54" s="6">
        <v>6</v>
      </c>
      <c r="H54" s="6">
        <v>8.8000000000000007</v>
      </c>
      <c r="I54" s="6"/>
      <c r="J54" s="6"/>
      <c r="K54" s="6"/>
      <c r="L54" s="20"/>
      <c r="M54" s="84">
        <f t="shared" si="0"/>
        <v>197</v>
      </c>
      <c r="N54" s="248">
        <f>RHcount!X48</f>
        <v>0</v>
      </c>
      <c r="O54" s="17"/>
      <c r="P54" s="17"/>
      <c r="Q54" s="17"/>
      <c r="R54" s="17"/>
      <c r="S54" s="17"/>
      <c r="T54" s="17"/>
      <c r="U54" s="4"/>
      <c r="V54" s="4"/>
    </row>
    <row r="55" spans="1:22" x14ac:dyDescent="0.25">
      <c r="A55" s="318" t="str">
        <f t="shared" si="5"/>
        <v>Mon</v>
      </c>
      <c r="B55" s="15">
        <v>44550</v>
      </c>
      <c r="C55" s="16">
        <v>0.95833333333333337</v>
      </c>
      <c r="D55" s="6">
        <v>20.9</v>
      </c>
      <c r="E55" s="6">
        <v>34.9</v>
      </c>
      <c r="F55" s="6">
        <v>188</v>
      </c>
      <c r="G55" s="6">
        <v>5</v>
      </c>
      <c r="H55" s="6">
        <v>8.8000000000000007</v>
      </c>
      <c r="I55" s="6"/>
      <c r="J55" s="6"/>
      <c r="K55" s="6"/>
      <c r="L55" s="20"/>
      <c r="M55" s="84">
        <f t="shared" si="0"/>
        <v>188</v>
      </c>
      <c r="N55" s="248">
        <f>RHcount!X49</f>
        <v>0</v>
      </c>
      <c r="O55" s="17"/>
      <c r="P55" s="17"/>
      <c r="Q55" s="17"/>
      <c r="R55" s="17"/>
      <c r="S55" s="17"/>
      <c r="T55" s="17"/>
      <c r="U55" s="4"/>
      <c r="V55" s="4"/>
    </row>
    <row r="56" spans="1:22" x14ac:dyDescent="0.25">
      <c r="A56" s="318" t="str">
        <f t="shared" si="5"/>
        <v>Tue</v>
      </c>
      <c r="B56" s="15">
        <v>44551</v>
      </c>
      <c r="C56" s="16">
        <v>0</v>
      </c>
      <c r="D56" s="6">
        <v>19.899999999999999</v>
      </c>
      <c r="E56" s="6">
        <v>38.4</v>
      </c>
      <c r="F56" s="6">
        <v>190</v>
      </c>
      <c r="G56" s="6">
        <v>5</v>
      </c>
      <c r="H56" s="6">
        <v>8.8000000000000007</v>
      </c>
      <c r="I56" s="6"/>
      <c r="J56" s="6"/>
      <c r="K56" s="6"/>
      <c r="L56" s="20"/>
      <c r="M56" s="84">
        <f t="shared" si="0"/>
        <v>190</v>
      </c>
      <c r="N56" s="248">
        <f>RHcount!X50</f>
        <v>0</v>
      </c>
      <c r="O56" s="17"/>
      <c r="P56" s="17"/>
      <c r="Q56" s="17"/>
      <c r="R56" s="17"/>
      <c r="S56" s="17"/>
      <c r="T56" s="17"/>
      <c r="U56" s="4"/>
      <c r="V56" s="4"/>
    </row>
    <row r="57" spans="1:22" x14ac:dyDescent="0.25">
      <c r="A57" s="318" t="str">
        <f t="shared" si="5"/>
        <v>Tue</v>
      </c>
      <c r="B57" s="15">
        <v>44551</v>
      </c>
      <c r="C57" s="16">
        <v>4.1666666666666664E-2</v>
      </c>
      <c r="D57" s="6">
        <v>18.5</v>
      </c>
      <c r="E57" s="6">
        <v>42.5</v>
      </c>
      <c r="F57" s="6">
        <v>267</v>
      </c>
      <c r="G57" s="6">
        <v>6</v>
      </c>
      <c r="H57" s="6">
        <v>8.8000000000000007</v>
      </c>
      <c r="I57" s="6"/>
      <c r="J57" s="6"/>
      <c r="K57" s="6"/>
      <c r="L57" s="20"/>
      <c r="M57" s="84">
        <f t="shared" si="0"/>
        <v>267</v>
      </c>
      <c r="N57" s="248">
        <f>RHcount!X51</f>
        <v>0</v>
      </c>
      <c r="O57" s="17"/>
      <c r="P57" s="17"/>
      <c r="Q57" s="17"/>
      <c r="R57" s="17"/>
      <c r="S57" s="17"/>
      <c r="T57" s="17"/>
      <c r="U57" s="4"/>
      <c r="V57" s="4"/>
    </row>
    <row r="58" spans="1:22" x14ac:dyDescent="0.25">
      <c r="A58" s="318" t="str">
        <f t="shared" si="5"/>
        <v>Tue</v>
      </c>
      <c r="B58" s="15">
        <v>44551</v>
      </c>
      <c r="C58" s="16">
        <v>8.3333333333333329E-2</v>
      </c>
      <c r="D58" s="6">
        <v>17.2</v>
      </c>
      <c r="E58" s="6">
        <v>47.4</v>
      </c>
      <c r="F58" s="6">
        <v>245</v>
      </c>
      <c r="G58" s="6">
        <v>6</v>
      </c>
      <c r="H58" s="6">
        <v>8.8000000000000007</v>
      </c>
      <c r="I58" s="6"/>
      <c r="J58" s="6"/>
      <c r="K58" s="6"/>
      <c r="L58" s="20"/>
      <c r="M58" s="84">
        <f t="shared" si="0"/>
        <v>245</v>
      </c>
      <c r="N58" s="248">
        <f>RHcount!X52</f>
        <v>0</v>
      </c>
      <c r="O58" s="17"/>
      <c r="P58" s="17"/>
      <c r="Q58" s="17"/>
      <c r="R58" s="17"/>
      <c r="S58" s="17"/>
      <c r="T58" s="17"/>
      <c r="U58" s="4"/>
      <c r="V58" s="4"/>
    </row>
    <row r="59" spans="1:22" x14ac:dyDescent="0.25">
      <c r="A59" s="318" t="str">
        <f t="shared" si="5"/>
        <v>Tue</v>
      </c>
      <c r="B59" s="15">
        <v>44551</v>
      </c>
      <c r="C59" s="16">
        <v>0.125</v>
      </c>
      <c r="D59" s="6">
        <v>16.3</v>
      </c>
      <c r="E59" s="6">
        <v>50.2</v>
      </c>
      <c r="F59" s="6">
        <v>226</v>
      </c>
      <c r="G59" s="6">
        <v>6</v>
      </c>
      <c r="H59" s="6">
        <v>8.8000000000000007</v>
      </c>
      <c r="I59" s="6"/>
      <c r="J59" s="6"/>
      <c r="K59" s="6"/>
      <c r="L59" s="20"/>
      <c r="M59" s="84">
        <f t="shared" si="0"/>
        <v>226</v>
      </c>
      <c r="N59" s="248">
        <f>RHcount!X53</f>
        <v>0</v>
      </c>
      <c r="O59" s="17"/>
      <c r="P59" s="17"/>
      <c r="Q59" s="17"/>
      <c r="R59" s="17"/>
      <c r="S59" s="17"/>
      <c r="T59" s="17"/>
      <c r="U59" s="4"/>
      <c r="V59" s="4"/>
    </row>
    <row r="60" spans="1:22" x14ac:dyDescent="0.25">
      <c r="A60" s="318" t="str">
        <f t="shared" si="5"/>
        <v>Tue</v>
      </c>
      <c r="B60" s="15">
        <v>44551</v>
      </c>
      <c r="C60" s="16">
        <v>0.16666666666666666</v>
      </c>
      <c r="D60" s="6">
        <v>15.5</v>
      </c>
      <c r="E60" s="6">
        <v>54.3</v>
      </c>
      <c r="F60" s="6">
        <v>216</v>
      </c>
      <c r="G60" s="6">
        <v>6</v>
      </c>
      <c r="H60" s="6">
        <v>8.8000000000000007</v>
      </c>
      <c r="I60" s="6"/>
      <c r="J60" s="6"/>
      <c r="K60" s="6"/>
      <c r="L60" s="20"/>
      <c r="M60" s="84">
        <f t="shared" si="0"/>
        <v>216</v>
      </c>
      <c r="N60" s="248">
        <f>RHcount!X54</f>
        <v>0</v>
      </c>
      <c r="O60" s="17"/>
      <c r="P60" s="17"/>
      <c r="Q60" s="17"/>
      <c r="R60" s="17"/>
      <c r="S60" s="17"/>
      <c r="T60" s="17"/>
      <c r="U60" s="4"/>
      <c r="V60" s="4"/>
    </row>
    <row r="61" spans="1:22" x14ac:dyDescent="0.25">
      <c r="A61" s="318" t="str">
        <f t="shared" si="5"/>
        <v>Tue</v>
      </c>
      <c r="B61" s="15">
        <v>44551</v>
      </c>
      <c r="C61" s="16">
        <v>0.20833333333333334</v>
      </c>
      <c r="D61" s="6">
        <v>14.5</v>
      </c>
      <c r="E61" s="6">
        <v>62.4</v>
      </c>
      <c r="F61" s="6">
        <v>188</v>
      </c>
      <c r="G61" s="6">
        <v>9</v>
      </c>
      <c r="H61" s="6">
        <v>8.8000000000000007</v>
      </c>
      <c r="I61" s="6"/>
      <c r="J61" s="6"/>
      <c r="K61" s="6"/>
      <c r="L61" s="20"/>
      <c r="M61" s="84">
        <f t="shared" si="0"/>
        <v>188</v>
      </c>
      <c r="N61" s="248">
        <f>RHcount!X55</f>
        <v>0</v>
      </c>
      <c r="O61" s="17"/>
      <c r="P61" s="17"/>
      <c r="Q61" s="17"/>
      <c r="R61" s="17"/>
      <c r="S61" s="17"/>
      <c r="T61" s="17"/>
      <c r="U61" s="4"/>
      <c r="V61" s="4"/>
    </row>
    <row r="62" spans="1:22" x14ac:dyDescent="0.25">
      <c r="A62" s="318" t="str">
        <f t="shared" si="5"/>
        <v>Tue</v>
      </c>
      <c r="B62" s="15">
        <v>44551</v>
      </c>
      <c r="C62" s="16">
        <v>0.25</v>
      </c>
      <c r="D62" s="6">
        <v>13.9</v>
      </c>
      <c r="E62" s="6">
        <v>65.3</v>
      </c>
      <c r="F62" s="6">
        <v>189</v>
      </c>
      <c r="G62" s="6">
        <v>10</v>
      </c>
      <c r="H62" s="6">
        <v>8.8000000000000007</v>
      </c>
      <c r="I62" s="6"/>
      <c r="J62" s="6"/>
      <c r="K62" s="6"/>
      <c r="L62" s="20"/>
      <c r="M62" s="84">
        <f t="shared" si="0"/>
        <v>189</v>
      </c>
      <c r="N62" s="248">
        <f>RHcount!X56</f>
        <v>0</v>
      </c>
      <c r="O62" s="17"/>
      <c r="P62" s="17"/>
      <c r="Q62" s="17"/>
      <c r="R62" s="17"/>
      <c r="S62" s="17"/>
      <c r="T62" s="17"/>
      <c r="U62" s="4"/>
      <c r="V62" s="4"/>
    </row>
    <row r="63" spans="1:22" x14ac:dyDescent="0.25">
      <c r="A63" s="318" t="str">
        <f t="shared" si="5"/>
        <v>Tue</v>
      </c>
      <c r="B63" s="15">
        <v>44551</v>
      </c>
      <c r="C63" s="16">
        <v>0.29166666666666669</v>
      </c>
      <c r="D63" s="6">
        <v>15.8</v>
      </c>
      <c r="E63" s="6">
        <v>58.6</v>
      </c>
      <c r="F63" s="6">
        <v>178</v>
      </c>
      <c r="G63" s="6">
        <v>12</v>
      </c>
      <c r="H63" s="6">
        <v>8.8000000000000007</v>
      </c>
      <c r="I63" s="6"/>
      <c r="J63" s="6"/>
      <c r="K63" s="6"/>
      <c r="L63" s="20"/>
      <c r="M63" s="84">
        <f t="shared" si="0"/>
        <v>178</v>
      </c>
      <c r="N63" s="248">
        <f>RHcount!X57</f>
        <v>0</v>
      </c>
      <c r="O63" s="17"/>
      <c r="P63" s="17"/>
      <c r="Q63" s="17"/>
      <c r="R63" s="17"/>
      <c r="S63" s="17"/>
      <c r="T63" s="17"/>
      <c r="U63" s="4"/>
      <c r="V63" s="4"/>
    </row>
    <row r="64" spans="1:22" x14ac:dyDescent="0.25">
      <c r="A64" s="318" t="str">
        <f t="shared" si="5"/>
        <v>Tue</v>
      </c>
      <c r="B64" s="15">
        <v>44551</v>
      </c>
      <c r="C64" s="16">
        <v>0.33333333333333331</v>
      </c>
      <c r="D64" s="6">
        <v>19.100000000000001</v>
      </c>
      <c r="E64" s="6">
        <v>48.2</v>
      </c>
      <c r="F64" s="6">
        <v>183</v>
      </c>
      <c r="G64" s="6">
        <v>16</v>
      </c>
      <c r="H64" s="6">
        <v>8.8000000000000007</v>
      </c>
      <c r="I64" s="6"/>
      <c r="J64" s="6"/>
      <c r="K64" s="6"/>
      <c r="L64" s="20"/>
      <c r="M64" s="84">
        <f t="shared" si="0"/>
        <v>183</v>
      </c>
      <c r="N64" s="248">
        <f>RHcount!X58</f>
        <v>0</v>
      </c>
      <c r="O64" s="17"/>
      <c r="P64" s="17"/>
      <c r="Q64" s="17"/>
      <c r="R64" s="17"/>
      <c r="S64" s="17"/>
      <c r="T64" s="17"/>
      <c r="U64" s="4"/>
      <c r="V64" s="4"/>
    </row>
    <row r="65" spans="1:22" x14ac:dyDescent="0.25">
      <c r="A65" s="318" t="str">
        <f t="shared" si="5"/>
        <v>Tue</v>
      </c>
      <c r="B65" s="15">
        <v>44551</v>
      </c>
      <c r="C65" s="16">
        <v>0.375</v>
      </c>
      <c r="D65" s="6">
        <v>21.8</v>
      </c>
      <c r="E65" s="6">
        <v>42</v>
      </c>
      <c r="F65" s="6">
        <v>179</v>
      </c>
      <c r="G65" s="6">
        <v>10</v>
      </c>
      <c r="H65" s="6">
        <v>8.8000000000000007</v>
      </c>
      <c r="I65" s="6"/>
      <c r="J65" s="6"/>
      <c r="K65" s="6"/>
      <c r="L65" s="20"/>
      <c r="M65" s="84">
        <f t="shared" si="0"/>
        <v>179</v>
      </c>
      <c r="N65" s="248">
        <f>RHcount!X59</f>
        <v>0</v>
      </c>
      <c r="O65" s="17"/>
      <c r="P65" s="17"/>
      <c r="Q65" s="17"/>
      <c r="R65" s="17"/>
      <c r="S65" s="17"/>
      <c r="T65" s="17"/>
      <c r="U65" s="4"/>
      <c r="V65" s="4"/>
    </row>
    <row r="66" spans="1:22" x14ac:dyDescent="0.25">
      <c r="A66" s="318" t="str">
        <f t="shared" si="5"/>
        <v>Tue</v>
      </c>
      <c r="B66" s="15">
        <v>44551</v>
      </c>
      <c r="C66" s="16">
        <v>0.41666666666666669</v>
      </c>
      <c r="D66" s="6">
        <v>24.5</v>
      </c>
      <c r="E66" s="6">
        <v>33.1</v>
      </c>
      <c r="F66" s="6">
        <v>158</v>
      </c>
      <c r="G66" s="6">
        <v>14</v>
      </c>
      <c r="H66" s="6">
        <v>8.8000000000000007</v>
      </c>
      <c r="I66" s="6"/>
      <c r="J66" s="6"/>
      <c r="K66" s="6"/>
      <c r="L66" s="20"/>
      <c r="M66" s="84">
        <f t="shared" si="0"/>
        <v>158</v>
      </c>
      <c r="N66" s="248">
        <f>RHcount!X60</f>
        <v>0</v>
      </c>
      <c r="O66" s="17"/>
      <c r="P66" s="17"/>
      <c r="Q66" s="17"/>
      <c r="R66" s="17"/>
      <c r="S66" s="17"/>
      <c r="T66" s="17"/>
      <c r="U66" s="4"/>
      <c r="V66" s="4"/>
    </row>
    <row r="67" spans="1:22" x14ac:dyDescent="0.25">
      <c r="A67" s="318" t="str">
        <f t="shared" si="5"/>
        <v>Tue</v>
      </c>
      <c r="B67" s="15">
        <v>44551</v>
      </c>
      <c r="C67" s="16">
        <v>0.45833333333333331</v>
      </c>
      <c r="D67" s="6">
        <v>26.9</v>
      </c>
      <c r="E67" s="6">
        <v>27.9</v>
      </c>
      <c r="F67" s="6">
        <v>153</v>
      </c>
      <c r="G67" s="6">
        <v>11</v>
      </c>
      <c r="H67" s="6">
        <v>8.8000000000000007</v>
      </c>
      <c r="I67" s="6"/>
      <c r="J67" s="6"/>
      <c r="K67" s="6"/>
      <c r="L67" s="20"/>
      <c r="M67" s="84">
        <f t="shared" si="0"/>
        <v>153</v>
      </c>
      <c r="N67" s="248">
        <f>RHcount!X61</f>
        <v>0</v>
      </c>
      <c r="O67" s="17"/>
      <c r="P67" s="17"/>
      <c r="Q67" s="17"/>
      <c r="R67" s="17"/>
      <c r="S67" s="17"/>
      <c r="T67" s="17"/>
      <c r="U67" s="4"/>
      <c r="V67" s="4"/>
    </row>
    <row r="68" spans="1:22" x14ac:dyDescent="0.25">
      <c r="A68" s="318" t="str">
        <f t="shared" si="5"/>
        <v>Tue</v>
      </c>
      <c r="B68" s="15">
        <v>44551</v>
      </c>
      <c r="C68" s="16">
        <v>0.5</v>
      </c>
      <c r="D68" s="6">
        <v>28</v>
      </c>
      <c r="E68" s="6">
        <v>25</v>
      </c>
      <c r="F68" s="6">
        <v>162</v>
      </c>
      <c r="G68" s="6">
        <v>11</v>
      </c>
      <c r="H68" s="6">
        <v>8.8000000000000007</v>
      </c>
      <c r="I68" s="6"/>
      <c r="J68" s="6"/>
      <c r="K68" s="6"/>
      <c r="L68" s="20"/>
      <c r="M68" s="84">
        <f t="shared" si="0"/>
        <v>162</v>
      </c>
      <c r="N68" s="248">
        <f>RHcount!X62</f>
        <v>0</v>
      </c>
      <c r="O68" s="17"/>
      <c r="P68" s="17"/>
      <c r="Q68" s="17"/>
      <c r="R68" s="17"/>
      <c r="S68" s="17"/>
      <c r="T68" s="17"/>
      <c r="U68" s="4"/>
      <c r="V68" s="4"/>
    </row>
    <row r="69" spans="1:22" x14ac:dyDescent="0.25">
      <c r="A69" s="318" t="str">
        <f t="shared" si="5"/>
        <v>Tue</v>
      </c>
      <c r="B69" s="15">
        <v>44551</v>
      </c>
      <c r="C69" s="16">
        <v>0.54166666666666663</v>
      </c>
      <c r="D69" s="6">
        <v>29.5</v>
      </c>
      <c r="E69" s="6">
        <v>22</v>
      </c>
      <c r="F69" s="6">
        <v>198</v>
      </c>
      <c r="G69" s="6">
        <v>11</v>
      </c>
      <c r="H69" s="6">
        <v>8.9000009999999996</v>
      </c>
      <c r="I69" s="6"/>
      <c r="J69" s="6"/>
      <c r="K69" s="6"/>
      <c r="L69" s="20"/>
      <c r="M69" s="84">
        <f t="shared" si="0"/>
        <v>198</v>
      </c>
      <c r="N69" s="248">
        <f>RHcount!X63</f>
        <v>0</v>
      </c>
      <c r="O69" s="17"/>
      <c r="P69" s="17"/>
      <c r="Q69" s="17"/>
      <c r="R69" s="17"/>
      <c r="S69" s="17"/>
      <c r="T69" s="17"/>
      <c r="U69" s="4"/>
      <c r="V69" s="4"/>
    </row>
    <row r="70" spans="1:22" x14ac:dyDescent="0.25">
      <c r="A70" s="318" t="str">
        <f t="shared" si="5"/>
        <v>Tue</v>
      </c>
      <c r="B70" s="15">
        <v>44551</v>
      </c>
      <c r="C70" s="16">
        <v>0.58333333333333337</v>
      </c>
      <c r="D70" s="6">
        <v>31.4</v>
      </c>
      <c r="E70" s="6">
        <v>18.600000000000001</v>
      </c>
      <c r="F70" s="6">
        <v>208</v>
      </c>
      <c r="G70" s="6">
        <v>11</v>
      </c>
      <c r="H70" s="6">
        <v>8.9000009999999996</v>
      </c>
      <c r="I70" s="6"/>
      <c r="J70" s="6"/>
      <c r="K70" s="6"/>
      <c r="L70" s="20"/>
      <c r="M70" s="84">
        <f t="shared" si="0"/>
        <v>208</v>
      </c>
      <c r="N70" s="248">
        <f>RHcount!X64</f>
        <v>0</v>
      </c>
      <c r="O70" s="17"/>
      <c r="P70" s="17"/>
      <c r="Q70" s="17"/>
      <c r="R70" s="17"/>
      <c r="S70" s="17"/>
      <c r="T70" s="17"/>
      <c r="U70" s="4"/>
      <c r="V70" s="4"/>
    </row>
    <row r="71" spans="1:22" x14ac:dyDescent="0.25">
      <c r="A71" s="318" t="str">
        <f t="shared" si="5"/>
        <v>Tue</v>
      </c>
      <c r="B71" s="15">
        <v>44551</v>
      </c>
      <c r="C71" s="16">
        <v>0.625</v>
      </c>
      <c r="D71" s="6">
        <v>32.4</v>
      </c>
      <c r="E71" s="6">
        <v>16.5</v>
      </c>
      <c r="F71" s="6">
        <v>212</v>
      </c>
      <c r="G71" s="6">
        <v>9</v>
      </c>
      <c r="H71" s="6">
        <v>8.9000009999999996</v>
      </c>
      <c r="I71" s="6"/>
      <c r="J71" s="6"/>
      <c r="K71" s="6"/>
      <c r="L71" s="20"/>
      <c r="M71" s="84">
        <f t="shared" si="0"/>
        <v>212</v>
      </c>
      <c r="N71" s="248">
        <f>RHcount!X65</f>
        <v>0</v>
      </c>
      <c r="O71" s="17"/>
      <c r="P71" s="17"/>
      <c r="Q71" s="17"/>
      <c r="R71" s="17"/>
      <c r="S71" s="17"/>
      <c r="T71" s="17"/>
      <c r="U71" s="4"/>
      <c r="V71" s="4"/>
    </row>
    <row r="72" spans="1:22" x14ac:dyDescent="0.25">
      <c r="A72" s="318" t="str">
        <f t="shared" si="5"/>
        <v>Tue</v>
      </c>
      <c r="B72" s="15">
        <v>44551</v>
      </c>
      <c r="C72" s="16">
        <v>0.66666666666666663</v>
      </c>
      <c r="D72" s="6">
        <v>33.299999999999997</v>
      </c>
      <c r="E72" s="6">
        <v>15.6</v>
      </c>
      <c r="F72" s="6">
        <v>216</v>
      </c>
      <c r="G72" s="6">
        <v>11</v>
      </c>
      <c r="H72" s="6">
        <v>8.9000009999999996</v>
      </c>
      <c r="I72" s="6"/>
      <c r="J72" s="6"/>
      <c r="K72" s="6"/>
      <c r="L72" s="20"/>
      <c r="M72" s="84">
        <f t="shared" si="0"/>
        <v>216</v>
      </c>
      <c r="N72" s="248">
        <f>RHcount!X66</f>
        <v>0</v>
      </c>
      <c r="O72" s="17"/>
      <c r="P72" s="17"/>
      <c r="Q72" s="17"/>
      <c r="R72" s="17"/>
      <c r="S72" s="17"/>
      <c r="T72" s="17"/>
      <c r="U72" s="4"/>
      <c r="V72" s="4"/>
    </row>
    <row r="73" spans="1:22" x14ac:dyDescent="0.25">
      <c r="A73" s="318" t="str">
        <f t="shared" si="5"/>
        <v>Tue</v>
      </c>
      <c r="B73" s="15">
        <v>44551</v>
      </c>
      <c r="C73" s="16">
        <v>0.70833333333333337</v>
      </c>
      <c r="D73" s="6">
        <v>34</v>
      </c>
      <c r="E73" s="6">
        <v>14.5</v>
      </c>
      <c r="F73" s="6">
        <v>218</v>
      </c>
      <c r="G73" s="6">
        <v>10</v>
      </c>
      <c r="H73" s="6">
        <v>8.9000009999999996</v>
      </c>
      <c r="I73" s="6"/>
      <c r="J73" s="6"/>
      <c r="K73" s="6"/>
      <c r="L73" s="20"/>
      <c r="M73" s="84">
        <f t="shared" si="0"/>
        <v>218</v>
      </c>
      <c r="N73" s="248">
        <f>RHcount!X67</f>
        <v>0</v>
      </c>
      <c r="O73" s="17"/>
      <c r="P73" s="17"/>
      <c r="Q73" s="17"/>
      <c r="R73" s="17"/>
      <c r="S73" s="17"/>
      <c r="T73" s="17"/>
      <c r="U73" s="4"/>
      <c r="V73" s="4"/>
    </row>
    <row r="74" spans="1:22" x14ac:dyDescent="0.25">
      <c r="A74" s="318" t="str">
        <f t="shared" si="5"/>
        <v>Tue</v>
      </c>
      <c r="B74" s="15">
        <v>44551</v>
      </c>
      <c r="C74" s="16">
        <v>0.75</v>
      </c>
      <c r="D74" s="6">
        <v>33.5</v>
      </c>
      <c r="E74" s="6">
        <v>15.3</v>
      </c>
      <c r="F74" s="6">
        <v>205</v>
      </c>
      <c r="G74" s="6">
        <v>12</v>
      </c>
      <c r="H74" s="6">
        <v>8.9000009999999996</v>
      </c>
      <c r="I74" s="6"/>
      <c r="J74" s="6"/>
      <c r="K74" s="6"/>
      <c r="L74" s="20"/>
      <c r="M74" s="84">
        <f t="shared" si="0"/>
        <v>205</v>
      </c>
      <c r="N74" s="248">
        <f>RHcount!X68</f>
        <v>0</v>
      </c>
      <c r="O74" s="17"/>
      <c r="P74" s="17"/>
      <c r="Q74" s="17"/>
      <c r="R74" s="17"/>
      <c r="S74" s="17"/>
      <c r="T74" s="17"/>
      <c r="U74" s="4"/>
      <c r="V74" s="4"/>
    </row>
    <row r="75" spans="1:22" x14ac:dyDescent="0.25">
      <c r="A75" s="318" t="str">
        <f t="shared" si="5"/>
        <v>Tue</v>
      </c>
      <c r="B75" s="15">
        <v>44551</v>
      </c>
      <c r="C75" s="16">
        <v>0.79166666666666663</v>
      </c>
      <c r="D75" s="6">
        <v>33.299999999999997</v>
      </c>
      <c r="E75" s="6">
        <v>15.4</v>
      </c>
      <c r="F75" s="6">
        <v>202</v>
      </c>
      <c r="G75" s="6">
        <v>11</v>
      </c>
      <c r="H75" s="6">
        <v>8.9000009999999996</v>
      </c>
      <c r="I75" s="6"/>
      <c r="J75" s="6"/>
      <c r="K75" s="6"/>
      <c r="L75" s="20"/>
      <c r="M75" s="84">
        <f t="shared" ref="M75:M138" si="8">IF(F75&gt;"a",VLOOKUP(F75,$U$11:$V$26,2),F75)</f>
        <v>202</v>
      </c>
      <c r="N75" s="248">
        <f>RHcount!X69</f>
        <v>0</v>
      </c>
      <c r="O75" s="17"/>
      <c r="P75" s="17"/>
      <c r="Q75" s="17"/>
      <c r="R75" s="17"/>
      <c r="S75" s="17"/>
      <c r="T75" s="17"/>
      <c r="U75" s="4"/>
      <c r="V75" s="4"/>
    </row>
    <row r="76" spans="1:22" x14ac:dyDescent="0.25">
      <c r="A76" s="318" t="str">
        <f t="shared" si="5"/>
        <v>Tue</v>
      </c>
      <c r="B76" s="15">
        <v>44551</v>
      </c>
      <c r="C76" s="16">
        <v>0.83333333333333337</v>
      </c>
      <c r="D76" s="6">
        <v>32.200000000000003</v>
      </c>
      <c r="E76" s="6">
        <v>17.600000000000001</v>
      </c>
      <c r="F76" s="6">
        <v>206</v>
      </c>
      <c r="G76" s="6">
        <v>11</v>
      </c>
      <c r="H76" s="6">
        <v>8.9000009999999996</v>
      </c>
      <c r="I76" s="6"/>
      <c r="J76" s="6"/>
      <c r="K76" s="6"/>
      <c r="L76" s="20"/>
      <c r="M76" s="84">
        <f t="shared" si="8"/>
        <v>206</v>
      </c>
      <c r="N76" s="248">
        <f>RHcount!X70</f>
        <v>0</v>
      </c>
      <c r="O76" s="17"/>
      <c r="P76" s="17"/>
      <c r="Q76" s="17"/>
      <c r="R76" s="17"/>
      <c r="S76" s="17"/>
      <c r="T76" s="17"/>
      <c r="U76" s="4"/>
      <c r="V76" s="4"/>
    </row>
    <row r="77" spans="1:22" x14ac:dyDescent="0.25">
      <c r="A77" s="318" t="str">
        <f t="shared" si="5"/>
        <v>Tue</v>
      </c>
      <c r="B77" s="15">
        <v>44551</v>
      </c>
      <c r="C77" s="16">
        <v>0.875</v>
      </c>
      <c r="D77" s="6">
        <v>29.1</v>
      </c>
      <c r="E77" s="6">
        <v>23.4</v>
      </c>
      <c r="F77" s="6">
        <v>199</v>
      </c>
      <c r="G77" s="6">
        <v>9</v>
      </c>
      <c r="H77" s="6">
        <v>8.9000009999999996</v>
      </c>
      <c r="I77" s="6"/>
      <c r="J77" s="6"/>
      <c r="K77" s="6"/>
      <c r="L77" s="20"/>
      <c r="M77" s="84">
        <f t="shared" si="8"/>
        <v>199</v>
      </c>
      <c r="N77" s="248">
        <f>RHcount!X71</f>
        <v>0</v>
      </c>
      <c r="O77" s="17"/>
      <c r="P77" s="17"/>
      <c r="Q77" s="17"/>
      <c r="R77" s="17"/>
      <c r="S77" s="17"/>
      <c r="T77" s="17"/>
      <c r="U77" s="4"/>
      <c r="V77" s="4"/>
    </row>
    <row r="78" spans="1:22" x14ac:dyDescent="0.25">
      <c r="A78" s="318" t="str">
        <f t="shared" ref="A78:A141" si="9">TEXT(B78,"ddd")</f>
        <v>Tue</v>
      </c>
      <c r="B78" s="15">
        <v>44551</v>
      </c>
      <c r="C78" s="16">
        <v>0.91666666666666663</v>
      </c>
      <c r="D78" s="6">
        <v>26.6</v>
      </c>
      <c r="E78" s="6">
        <v>28</v>
      </c>
      <c r="F78" s="6">
        <v>192</v>
      </c>
      <c r="G78" s="6">
        <v>8</v>
      </c>
      <c r="H78" s="6">
        <v>8.9000009999999996</v>
      </c>
      <c r="I78" s="6"/>
      <c r="J78" s="6"/>
      <c r="K78" s="6"/>
      <c r="L78" s="20"/>
      <c r="M78" s="84">
        <f t="shared" si="8"/>
        <v>192</v>
      </c>
      <c r="N78" s="248">
        <f>RHcount!X72</f>
        <v>0</v>
      </c>
      <c r="O78" s="17"/>
      <c r="P78" s="17"/>
      <c r="Q78" s="17"/>
      <c r="R78" s="17"/>
      <c r="S78" s="17"/>
      <c r="T78" s="17"/>
      <c r="U78" s="4"/>
      <c r="V78" s="4"/>
    </row>
    <row r="79" spans="1:22" x14ac:dyDescent="0.25">
      <c r="A79" s="318" t="str">
        <f t="shared" si="9"/>
        <v>Tue</v>
      </c>
      <c r="B79" s="15">
        <v>44551</v>
      </c>
      <c r="C79" s="16">
        <v>0.95833333333333337</v>
      </c>
      <c r="D79" s="6">
        <v>24.5</v>
      </c>
      <c r="E79" s="6">
        <v>31.5</v>
      </c>
      <c r="F79" s="6">
        <v>185</v>
      </c>
      <c r="G79" s="6">
        <v>7</v>
      </c>
      <c r="H79" s="6">
        <v>8.9000009999999996</v>
      </c>
      <c r="I79" s="6"/>
      <c r="J79" s="6"/>
      <c r="K79" s="6"/>
      <c r="L79" s="20"/>
      <c r="M79" s="84">
        <f t="shared" si="8"/>
        <v>185</v>
      </c>
      <c r="N79" s="248">
        <f>RHcount!X73</f>
        <v>0</v>
      </c>
      <c r="O79" s="17"/>
      <c r="P79" s="17"/>
      <c r="Q79" s="17"/>
      <c r="R79" s="17"/>
      <c r="S79" s="17"/>
      <c r="T79" s="17"/>
      <c r="U79" s="4"/>
      <c r="V79" s="4"/>
    </row>
    <row r="80" spans="1:22" x14ac:dyDescent="0.25">
      <c r="A80" s="318" t="str">
        <f t="shared" si="9"/>
        <v>Wed</v>
      </c>
      <c r="B80" s="15">
        <v>44552</v>
      </c>
      <c r="C80" s="16">
        <v>0</v>
      </c>
      <c r="D80" s="6">
        <v>23.6</v>
      </c>
      <c r="E80" s="6">
        <v>34</v>
      </c>
      <c r="F80" s="6">
        <v>182</v>
      </c>
      <c r="G80" s="6">
        <v>7</v>
      </c>
      <c r="H80" s="6">
        <v>8.9000009999999996</v>
      </c>
      <c r="I80" s="6"/>
      <c r="J80" s="6"/>
      <c r="K80" s="6"/>
      <c r="L80" s="20"/>
      <c r="M80" s="84">
        <f t="shared" si="8"/>
        <v>182</v>
      </c>
      <c r="N80" s="248">
        <f>RHcount!X74</f>
        <v>0</v>
      </c>
      <c r="O80" s="17"/>
      <c r="P80" s="17"/>
      <c r="Q80" s="17"/>
      <c r="R80" s="17"/>
      <c r="S80" s="17"/>
      <c r="T80" s="17"/>
      <c r="U80" s="4"/>
      <c r="V80" s="4"/>
    </row>
    <row r="81" spans="1:22" x14ac:dyDescent="0.25">
      <c r="A81" s="318" t="str">
        <f t="shared" si="9"/>
        <v>Wed</v>
      </c>
      <c r="B81" s="15">
        <v>44552</v>
      </c>
      <c r="C81" s="16">
        <v>4.1666666666666664E-2</v>
      </c>
      <c r="D81" s="6">
        <v>22.5</v>
      </c>
      <c r="E81" s="6">
        <v>35.6</v>
      </c>
      <c r="F81" s="6">
        <v>196</v>
      </c>
      <c r="G81" s="6">
        <v>9</v>
      </c>
      <c r="H81" s="6">
        <v>8.9000009999999996</v>
      </c>
      <c r="I81" s="6"/>
      <c r="J81" s="6"/>
      <c r="K81" s="6"/>
      <c r="L81" s="20"/>
      <c r="M81" s="84">
        <f t="shared" si="8"/>
        <v>196</v>
      </c>
      <c r="N81" s="248">
        <f>RHcount!X75</f>
        <v>0</v>
      </c>
      <c r="O81" s="17"/>
      <c r="P81" s="17"/>
      <c r="Q81" s="17"/>
      <c r="R81" s="17"/>
      <c r="S81" s="17"/>
      <c r="T81" s="17"/>
      <c r="U81" s="4"/>
      <c r="V81" s="4"/>
    </row>
    <row r="82" spans="1:22" x14ac:dyDescent="0.25">
      <c r="A82" s="318" t="str">
        <f t="shared" si="9"/>
        <v>Wed</v>
      </c>
      <c r="B82" s="15">
        <v>44552</v>
      </c>
      <c r="C82" s="16">
        <v>8.3333333333333329E-2</v>
      </c>
      <c r="D82" s="6">
        <v>21.6</v>
      </c>
      <c r="E82" s="6">
        <v>37.299999999999997</v>
      </c>
      <c r="F82" s="6">
        <v>179</v>
      </c>
      <c r="G82" s="6">
        <v>11</v>
      </c>
      <c r="H82" s="6">
        <v>8.9000009999999996</v>
      </c>
      <c r="I82" s="6"/>
      <c r="J82" s="6"/>
      <c r="K82" s="6"/>
      <c r="L82" s="20"/>
      <c r="M82" s="84">
        <f t="shared" si="8"/>
        <v>179</v>
      </c>
      <c r="N82" s="248">
        <f>RHcount!X76</f>
        <v>0</v>
      </c>
      <c r="O82" s="17"/>
      <c r="P82" s="17"/>
      <c r="Q82" s="17"/>
      <c r="R82" s="17"/>
      <c r="S82" s="17"/>
      <c r="T82" s="17"/>
      <c r="U82" s="4"/>
      <c r="V82" s="4"/>
    </row>
    <row r="83" spans="1:22" x14ac:dyDescent="0.25">
      <c r="A83" s="318" t="str">
        <f t="shared" si="9"/>
        <v>Wed</v>
      </c>
      <c r="B83" s="15">
        <v>44552</v>
      </c>
      <c r="C83" s="16">
        <v>0.125</v>
      </c>
      <c r="D83" s="6">
        <v>20.6</v>
      </c>
      <c r="E83" s="6">
        <v>41.6</v>
      </c>
      <c r="F83" s="6">
        <v>177</v>
      </c>
      <c r="G83" s="6">
        <v>11</v>
      </c>
      <c r="H83" s="6">
        <v>8.9000009999999996</v>
      </c>
      <c r="I83" s="6"/>
      <c r="J83" s="6"/>
      <c r="K83" s="6"/>
      <c r="L83" s="20"/>
      <c r="M83" s="84">
        <f t="shared" si="8"/>
        <v>177</v>
      </c>
      <c r="N83" s="248">
        <f>RHcount!X77</f>
        <v>0</v>
      </c>
      <c r="O83" s="17"/>
      <c r="P83" s="17"/>
      <c r="Q83" s="17"/>
      <c r="R83" s="17"/>
      <c r="S83" s="17"/>
      <c r="T83" s="17"/>
      <c r="U83" s="4"/>
      <c r="V83" s="4"/>
    </row>
    <row r="84" spans="1:22" x14ac:dyDescent="0.25">
      <c r="A84" s="318" t="str">
        <f t="shared" si="9"/>
        <v>Wed</v>
      </c>
      <c r="B84" s="15">
        <v>44552</v>
      </c>
      <c r="C84" s="16">
        <v>0.16666666666666666</v>
      </c>
      <c r="D84" s="6">
        <v>20</v>
      </c>
      <c r="E84" s="6">
        <v>45</v>
      </c>
      <c r="F84" s="6">
        <v>181</v>
      </c>
      <c r="G84" s="6">
        <v>12</v>
      </c>
      <c r="H84" s="6">
        <v>8.9000009999999996</v>
      </c>
      <c r="I84" s="6"/>
      <c r="J84" s="6"/>
      <c r="K84" s="6"/>
      <c r="L84" s="20"/>
      <c r="M84" s="84">
        <f t="shared" si="8"/>
        <v>181</v>
      </c>
      <c r="N84" s="248">
        <f>RHcount!X78</f>
        <v>0</v>
      </c>
      <c r="O84" s="17"/>
      <c r="P84" s="17"/>
      <c r="Q84" s="17"/>
      <c r="R84" s="17"/>
      <c r="S84" s="17"/>
      <c r="T84" s="17"/>
      <c r="U84" s="4"/>
      <c r="V84" s="4"/>
    </row>
    <row r="85" spans="1:22" x14ac:dyDescent="0.25">
      <c r="A85" s="318" t="str">
        <f t="shared" si="9"/>
        <v>Wed</v>
      </c>
      <c r="B85" s="15">
        <v>44552</v>
      </c>
      <c r="C85" s="16">
        <v>0.20833333333333334</v>
      </c>
      <c r="D85" s="6">
        <v>19.2</v>
      </c>
      <c r="E85" s="6">
        <v>49.3</v>
      </c>
      <c r="F85" s="6">
        <v>184</v>
      </c>
      <c r="G85" s="6">
        <v>16</v>
      </c>
      <c r="H85" s="6">
        <v>8.9000009999999996</v>
      </c>
      <c r="I85" s="6"/>
      <c r="J85" s="6"/>
      <c r="K85" s="6"/>
      <c r="L85" s="20"/>
      <c r="M85" s="84">
        <f t="shared" si="8"/>
        <v>184</v>
      </c>
      <c r="N85" s="248">
        <f>RHcount!X79</f>
        <v>0</v>
      </c>
      <c r="O85" s="17"/>
      <c r="P85" s="17"/>
      <c r="Q85" s="17"/>
      <c r="R85" s="17"/>
      <c r="S85" s="17"/>
      <c r="T85" s="17"/>
      <c r="U85" s="4"/>
      <c r="V85" s="4"/>
    </row>
    <row r="86" spans="1:22" x14ac:dyDescent="0.25">
      <c r="A86" s="318" t="str">
        <f t="shared" si="9"/>
        <v>Wed</v>
      </c>
      <c r="B86" s="15">
        <v>44552</v>
      </c>
      <c r="C86" s="16">
        <v>0.25</v>
      </c>
      <c r="D86" s="6">
        <v>18.3</v>
      </c>
      <c r="E86" s="6">
        <v>51.8</v>
      </c>
      <c r="F86" s="6">
        <v>182</v>
      </c>
      <c r="G86" s="6">
        <v>17</v>
      </c>
      <c r="H86" s="6">
        <v>8.9000009999999996</v>
      </c>
      <c r="I86" s="6"/>
      <c r="J86" s="6"/>
      <c r="K86" s="6"/>
      <c r="L86" s="20"/>
      <c r="M86" s="84">
        <f t="shared" si="8"/>
        <v>182</v>
      </c>
      <c r="N86" s="248">
        <f>RHcount!X80</f>
        <v>0</v>
      </c>
      <c r="O86" s="17"/>
      <c r="P86" s="17"/>
      <c r="Q86" s="17"/>
      <c r="R86" s="17"/>
      <c r="S86" s="17"/>
      <c r="T86" s="17"/>
      <c r="U86" s="4"/>
      <c r="V86" s="4"/>
    </row>
    <row r="87" spans="1:22" x14ac:dyDescent="0.25">
      <c r="A87" s="318" t="str">
        <f t="shared" si="9"/>
        <v>Wed</v>
      </c>
      <c r="B87" s="15">
        <v>44552</v>
      </c>
      <c r="C87" s="16">
        <v>0.29166666666666669</v>
      </c>
      <c r="D87" s="6">
        <v>19</v>
      </c>
      <c r="E87" s="6">
        <v>48.9</v>
      </c>
      <c r="F87" s="6">
        <v>176</v>
      </c>
      <c r="G87" s="6">
        <v>18</v>
      </c>
      <c r="H87" s="6">
        <v>8.9000009999999996</v>
      </c>
      <c r="I87" s="6"/>
      <c r="J87" s="6"/>
      <c r="K87" s="6"/>
      <c r="L87" s="20"/>
      <c r="M87" s="84">
        <f t="shared" si="8"/>
        <v>176</v>
      </c>
      <c r="N87" s="248">
        <f>RHcount!X81</f>
        <v>0</v>
      </c>
      <c r="O87" s="17"/>
      <c r="P87" s="17"/>
      <c r="Q87" s="17"/>
      <c r="R87" s="17"/>
      <c r="S87" s="17"/>
      <c r="T87" s="17"/>
      <c r="U87" s="4"/>
      <c r="V87" s="4"/>
    </row>
    <row r="88" spans="1:22" x14ac:dyDescent="0.25">
      <c r="A88" s="318" t="str">
        <f t="shared" si="9"/>
        <v>Wed</v>
      </c>
      <c r="B88" s="15">
        <v>44552</v>
      </c>
      <c r="C88" s="16">
        <v>0.33333333333333331</v>
      </c>
      <c r="D88" s="6">
        <v>21.4</v>
      </c>
      <c r="E88" s="6">
        <v>43</v>
      </c>
      <c r="F88" s="6">
        <v>179</v>
      </c>
      <c r="G88" s="6">
        <v>22</v>
      </c>
      <c r="H88" s="6">
        <v>8.9000009999999996</v>
      </c>
      <c r="I88" s="6"/>
      <c r="J88" s="6"/>
      <c r="K88" s="6"/>
      <c r="L88" s="20"/>
      <c r="M88" s="84">
        <f t="shared" si="8"/>
        <v>179</v>
      </c>
      <c r="N88" s="248">
        <f>RHcount!X82</f>
        <v>0</v>
      </c>
      <c r="O88" s="17"/>
      <c r="P88" s="17"/>
      <c r="Q88" s="17"/>
      <c r="R88" s="17"/>
      <c r="S88" s="17"/>
      <c r="T88" s="17"/>
      <c r="U88" s="4"/>
      <c r="V88" s="4"/>
    </row>
    <row r="89" spans="1:22" x14ac:dyDescent="0.25">
      <c r="A89" s="318" t="str">
        <f t="shared" si="9"/>
        <v>Wed</v>
      </c>
      <c r="B89" s="15">
        <v>44552</v>
      </c>
      <c r="C89" s="16">
        <v>0.375</v>
      </c>
      <c r="D89" s="6">
        <v>23.5</v>
      </c>
      <c r="E89" s="6">
        <v>40</v>
      </c>
      <c r="F89" s="6">
        <v>167</v>
      </c>
      <c r="G89" s="6">
        <v>15</v>
      </c>
      <c r="H89" s="6">
        <v>8.9000009999999996</v>
      </c>
      <c r="I89" s="6"/>
      <c r="J89" s="6"/>
      <c r="K89" s="6"/>
      <c r="L89" s="20"/>
      <c r="M89" s="84">
        <f t="shared" si="8"/>
        <v>167</v>
      </c>
      <c r="N89" s="248">
        <f>RHcount!X83</f>
        <v>0</v>
      </c>
      <c r="O89" s="17"/>
      <c r="P89" s="17"/>
      <c r="Q89" s="17"/>
      <c r="R89" s="17"/>
      <c r="S89" s="17"/>
      <c r="T89" s="17"/>
      <c r="U89" s="4"/>
      <c r="V89" s="4"/>
    </row>
    <row r="90" spans="1:22" x14ac:dyDescent="0.25">
      <c r="A90" s="318" t="str">
        <f t="shared" si="9"/>
        <v>Wed</v>
      </c>
      <c r="B90" s="15">
        <v>44552</v>
      </c>
      <c r="C90" s="16">
        <v>0.41666666666666669</v>
      </c>
      <c r="D90" s="6">
        <v>25.9</v>
      </c>
      <c r="E90" s="6">
        <v>34.200000000000003</v>
      </c>
      <c r="F90" s="6">
        <v>164</v>
      </c>
      <c r="G90" s="6">
        <v>20</v>
      </c>
      <c r="H90" s="6">
        <v>8.9000009999999996</v>
      </c>
      <c r="I90" s="6"/>
      <c r="J90" s="6"/>
      <c r="K90" s="6"/>
      <c r="L90" s="20"/>
      <c r="M90" s="84">
        <f t="shared" si="8"/>
        <v>164</v>
      </c>
      <c r="N90" s="248">
        <f>RHcount!X84</f>
        <v>0</v>
      </c>
      <c r="O90" s="17"/>
      <c r="P90" s="17"/>
      <c r="Q90" s="17"/>
      <c r="R90" s="17"/>
      <c r="S90" s="17"/>
      <c r="T90" s="17"/>
      <c r="U90" s="4"/>
      <c r="V90" s="4"/>
    </row>
    <row r="91" spans="1:22" x14ac:dyDescent="0.25">
      <c r="A91" s="318" t="str">
        <f t="shared" si="9"/>
        <v>Wed</v>
      </c>
      <c r="B91" s="15">
        <v>44552</v>
      </c>
      <c r="C91" s="16">
        <v>0.45833333333333331</v>
      </c>
      <c r="D91" s="6">
        <v>28.1</v>
      </c>
      <c r="E91" s="6">
        <v>30</v>
      </c>
      <c r="F91" s="6">
        <v>165</v>
      </c>
      <c r="G91" s="6">
        <v>18</v>
      </c>
      <c r="H91" s="6">
        <v>8.9000009999999996</v>
      </c>
      <c r="I91" s="6"/>
      <c r="J91" s="6"/>
      <c r="K91" s="6"/>
      <c r="L91" s="20"/>
      <c r="M91" s="84">
        <f t="shared" si="8"/>
        <v>165</v>
      </c>
      <c r="N91" s="248">
        <f>RHcount!X85</f>
        <v>0</v>
      </c>
      <c r="O91" s="17"/>
      <c r="P91" s="17"/>
      <c r="Q91" s="17"/>
      <c r="R91" s="17"/>
      <c r="S91" s="17"/>
      <c r="T91" s="17"/>
      <c r="U91" s="4"/>
      <c r="V91" s="4"/>
    </row>
    <row r="92" spans="1:22" x14ac:dyDescent="0.25">
      <c r="A92" s="318" t="str">
        <f t="shared" si="9"/>
        <v>Wed</v>
      </c>
      <c r="B92" s="15">
        <v>44552</v>
      </c>
      <c r="C92" s="16">
        <v>0.5</v>
      </c>
      <c r="D92" s="6">
        <v>29.8</v>
      </c>
      <c r="E92" s="6">
        <v>26.2</v>
      </c>
      <c r="F92" s="6">
        <v>170</v>
      </c>
      <c r="G92" s="6">
        <v>17</v>
      </c>
      <c r="H92" s="6">
        <v>8.9000009999999996</v>
      </c>
      <c r="I92" s="6"/>
      <c r="J92" s="6"/>
      <c r="K92" s="6"/>
      <c r="L92" s="20"/>
      <c r="M92" s="84">
        <f t="shared" si="8"/>
        <v>170</v>
      </c>
      <c r="N92" s="248">
        <f>RHcount!X86</f>
        <v>0</v>
      </c>
      <c r="O92" s="17"/>
      <c r="P92" s="17"/>
      <c r="Q92" s="17"/>
      <c r="R92" s="17"/>
      <c r="S92" s="17"/>
      <c r="T92" s="17"/>
      <c r="U92" s="4"/>
      <c r="V92" s="4"/>
    </row>
    <row r="93" spans="1:22" x14ac:dyDescent="0.25">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5">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5">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5">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5">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5">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5">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5">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5">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5">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5">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5">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5">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5">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5">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5">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5">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5">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5">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5">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5">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5">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5">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5">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5">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5">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5">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5">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5">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5">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5">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5">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5">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5">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5">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5">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5">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5">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5">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5">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5">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5">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5">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5">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5">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5">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5">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5">
      <c r="A141" s="318" t="str">
        <f t="shared" si="9"/>
        <v>Fri</v>
      </c>
      <c r="B141" s="15">
        <v>44554</v>
      </c>
      <c r="C141" s="16">
        <v>0.54166666666666663</v>
      </c>
      <c r="D141" s="6">
        <v>32.6</v>
      </c>
      <c r="E141" s="6">
        <v>15.3</v>
      </c>
      <c r="F141" s="6">
        <v>145</v>
      </c>
      <c r="G141" s="6">
        <v>13</v>
      </c>
      <c r="H141" s="6">
        <v>9.1</v>
      </c>
      <c r="I141" s="6"/>
      <c r="J141" s="6"/>
      <c r="K141" s="6"/>
      <c r="L141" s="20"/>
      <c r="M141" s="84">
        <f t="shared" si="10"/>
        <v>145</v>
      </c>
      <c r="N141" s="248">
        <f>RHcount!X135</f>
        <v>0</v>
      </c>
      <c r="O141" s="17"/>
      <c r="P141" s="17"/>
      <c r="Q141" s="17"/>
      <c r="R141" s="17"/>
      <c r="S141" s="17"/>
      <c r="T141" s="17"/>
      <c r="U141" s="4"/>
      <c r="V141" s="4"/>
    </row>
    <row r="142" spans="1:22" x14ac:dyDescent="0.25">
      <c r="A142" s="318" t="str">
        <f t="shared" ref="A142:A190" si="11">TEXT(B142,"ddd")</f>
        <v>Fri</v>
      </c>
      <c r="B142" s="15">
        <v>44554</v>
      </c>
      <c r="C142" s="16">
        <v>0.58333333333333337</v>
      </c>
      <c r="D142" s="6">
        <v>34.299999999999997</v>
      </c>
      <c r="E142" s="6">
        <v>13.4</v>
      </c>
      <c r="F142" s="6">
        <v>150</v>
      </c>
      <c r="G142" s="6">
        <v>13</v>
      </c>
      <c r="H142" s="6">
        <v>9.1</v>
      </c>
      <c r="I142" s="6"/>
      <c r="J142" s="6"/>
      <c r="K142" s="6"/>
      <c r="L142" s="20"/>
      <c r="M142" s="84">
        <f t="shared" si="10"/>
        <v>150</v>
      </c>
      <c r="N142" s="248">
        <f>RHcount!X136</f>
        <v>0</v>
      </c>
      <c r="O142" s="17"/>
      <c r="P142" s="17"/>
      <c r="Q142" s="17"/>
      <c r="R142" s="17"/>
      <c r="S142" s="17"/>
      <c r="T142" s="17"/>
      <c r="U142" s="4"/>
      <c r="V142" s="4"/>
    </row>
    <row r="143" spans="1:22" x14ac:dyDescent="0.25">
      <c r="A143" s="318" t="str">
        <f t="shared" si="11"/>
        <v>Fri</v>
      </c>
      <c r="B143" s="15">
        <v>44554</v>
      </c>
      <c r="C143" s="16">
        <v>0.625</v>
      </c>
      <c r="D143" s="6">
        <v>35.4</v>
      </c>
      <c r="E143" s="6">
        <v>12.1</v>
      </c>
      <c r="F143" s="6">
        <v>154</v>
      </c>
      <c r="G143" s="6">
        <v>11</v>
      </c>
      <c r="H143" s="6">
        <v>9.1</v>
      </c>
      <c r="I143" s="6"/>
      <c r="J143" s="6"/>
      <c r="K143" s="6"/>
      <c r="L143" s="20"/>
      <c r="M143" s="84">
        <f t="shared" si="10"/>
        <v>154</v>
      </c>
      <c r="N143" s="248">
        <f>RHcount!X137</f>
        <v>0</v>
      </c>
      <c r="O143" s="17"/>
      <c r="P143" s="17"/>
      <c r="Q143" s="17"/>
      <c r="R143" s="17"/>
      <c r="S143" s="17"/>
      <c r="T143" s="17"/>
      <c r="U143" s="4"/>
      <c r="V143" s="4"/>
    </row>
    <row r="144" spans="1:22" x14ac:dyDescent="0.25">
      <c r="A144" s="318" t="str">
        <f t="shared" si="11"/>
        <v>Fri</v>
      </c>
      <c r="B144" s="15">
        <v>44554</v>
      </c>
      <c r="C144" s="16">
        <v>0.66666666666666663</v>
      </c>
      <c r="D144" s="6">
        <v>36.1</v>
      </c>
      <c r="E144" s="6">
        <v>11.4</v>
      </c>
      <c r="F144" s="6">
        <v>159</v>
      </c>
      <c r="G144" s="6">
        <v>12</v>
      </c>
      <c r="H144" s="6">
        <v>9.1</v>
      </c>
      <c r="I144" s="6"/>
      <c r="J144" s="6"/>
      <c r="K144" s="6"/>
      <c r="L144" s="20"/>
      <c r="M144" s="84">
        <f t="shared" si="10"/>
        <v>159</v>
      </c>
      <c r="N144" s="248">
        <f>RHcount!X138</f>
        <v>0</v>
      </c>
      <c r="O144" s="17"/>
      <c r="P144" s="17"/>
      <c r="Q144" s="17"/>
      <c r="R144" s="17"/>
      <c r="S144" s="17"/>
      <c r="T144" s="17"/>
      <c r="U144" s="4"/>
      <c r="V144" s="4"/>
    </row>
    <row r="145" spans="1:22" x14ac:dyDescent="0.25">
      <c r="A145" s="318" t="str">
        <f t="shared" si="11"/>
        <v>Fri</v>
      </c>
      <c r="B145" s="15">
        <v>44554</v>
      </c>
      <c r="C145" s="16">
        <v>0.70833333333333337</v>
      </c>
      <c r="D145" s="6">
        <v>36.6</v>
      </c>
      <c r="E145" s="6">
        <v>10.8</v>
      </c>
      <c r="F145" s="6">
        <v>164</v>
      </c>
      <c r="G145" s="6">
        <v>11</v>
      </c>
      <c r="H145" s="6">
        <v>9.1</v>
      </c>
      <c r="I145" s="6"/>
      <c r="J145" s="6"/>
      <c r="K145" s="6"/>
      <c r="L145" s="20"/>
      <c r="M145" s="84">
        <f t="shared" si="10"/>
        <v>164</v>
      </c>
      <c r="N145" s="248">
        <f>RHcount!X139</f>
        <v>0</v>
      </c>
      <c r="O145" s="17"/>
      <c r="P145" s="17"/>
      <c r="Q145" s="17"/>
      <c r="R145" s="17"/>
      <c r="S145" s="17"/>
      <c r="T145" s="17"/>
      <c r="U145" s="4"/>
      <c r="V145" s="4"/>
    </row>
    <row r="146" spans="1:22" x14ac:dyDescent="0.25">
      <c r="A146" s="318" t="str">
        <f t="shared" si="11"/>
        <v>Fri</v>
      </c>
      <c r="B146" s="15">
        <v>44554</v>
      </c>
      <c r="C146" s="16">
        <v>0.75</v>
      </c>
      <c r="D146" s="6">
        <v>36</v>
      </c>
      <c r="E146" s="6">
        <v>11.3</v>
      </c>
      <c r="F146" s="6">
        <v>157</v>
      </c>
      <c r="G146" s="6">
        <v>12</v>
      </c>
      <c r="H146" s="6">
        <v>9.1</v>
      </c>
      <c r="I146" s="6"/>
      <c r="J146" s="6"/>
      <c r="K146" s="6"/>
      <c r="L146" s="20"/>
      <c r="M146" s="84">
        <f t="shared" si="10"/>
        <v>157</v>
      </c>
      <c r="N146" s="248">
        <f>RHcount!X140</f>
        <v>0</v>
      </c>
      <c r="O146" s="17"/>
      <c r="P146" s="17"/>
      <c r="Q146" s="17"/>
      <c r="R146" s="17"/>
      <c r="S146" s="17"/>
      <c r="T146" s="17"/>
      <c r="U146" s="4"/>
      <c r="V146" s="4"/>
    </row>
    <row r="147" spans="1:22" x14ac:dyDescent="0.25">
      <c r="A147" s="318" t="str">
        <f t="shared" si="11"/>
        <v>Fri</v>
      </c>
      <c r="B147" s="15">
        <v>44554</v>
      </c>
      <c r="C147" s="16">
        <v>0.79166666666666663</v>
      </c>
      <c r="D147" s="6">
        <v>35.5</v>
      </c>
      <c r="E147" s="6">
        <v>11.5</v>
      </c>
      <c r="F147" s="6">
        <v>154</v>
      </c>
      <c r="G147" s="6">
        <v>11</v>
      </c>
      <c r="H147" s="6">
        <v>9.1</v>
      </c>
      <c r="I147" s="6"/>
      <c r="J147" s="6"/>
      <c r="K147" s="6"/>
      <c r="L147" s="20"/>
      <c r="M147" s="84">
        <f t="shared" si="10"/>
        <v>154</v>
      </c>
      <c r="N147" s="248">
        <f>RHcount!X141</f>
        <v>0</v>
      </c>
      <c r="O147" s="17"/>
      <c r="P147" s="17"/>
      <c r="Q147" s="17"/>
      <c r="R147" s="17"/>
      <c r="S147" s="17"/>
      <c r="T147" s="17"/>
      <c r="U147" s="4"/>
      <c r="V147" s="4"/>
    </row>
    <row r="148" spans="1:22" x14ac:dyDescent="0.25">
      <c r="A148" s="318" t="str">
        <f t="shared" si="11"/>
        <v>Fri</v>
      </c>
      <c r="B148" s="15">
        <v>44554</v>
      </c>
      <c r="C148" s="16">
        <v>0.83333333333333337</v>
      </c>
      <c r="D148" s="6">
        <v>34</v>
      </c>
      <c r="E148" s="6">
        <v>12.6</v>
      </c>
      <c r="F148" s="6">
        <v>152</v>
      </c>
      <c r="G148" s="6">
        <v>9</v>
      </c>
      <c r="H148" s="6">
        <v>9.1</v>
      </c>
      <c r="I148" s="6"/>
      <c r="J148" s="6"/>
      <c r="K148" s="6"/>
      <c r="L148" s="20"/>
      <c r="M148" s="84">
        <f t="shared" si="10"/>
        <v>152</v>
      </c>
      <c r="N148" s="248">
        <f>RHcount!X142</f>
        <v>0</v>
      </c>
      <c r="O148" s="17"/>
      <c r="P148" s="17"/>
      <c r="Q148" s="17"/>
      <c r="R148" s="17"/>
      <c r="S148" s="17"/>
      <c r="T148" s="17"/>
      <c r="U148" s="4"/>
      <c r="V148" s="4"/>
    </row>
    <row r="149" spans="1:22" x14ac:dyDescent="0.25">
      <c r="A149" s="318" t="str">
        <f t="shared" si="11"/>
        <v>Fri</v>
      </c>
      <c r="B149" s="15">
        <v>44554</v>
      </c>
      <c r="C149" s="16">
        <v>0.875</v>
      </c>
      <c r="D149" s="6">
        <v>30.8</v>
      </c>
      <c r="E149" s="6">
        <v>16.3</v>
      </c>
      <c r="F149" s="6">
        <v>150</v>
      </c>
      <c r="G149" s="6">
        <v>8</v>
      </c>
      <c r="H149" s="6">
        <v>9.1</v>
      </c>
      <c r="I149" s="6"/>
      <c r="J149" s="6"/>
      <c r="K149" s="6"/>
      <c r="L149" s="20"/>
      <c r="M149" s="84">
        <f t="shared" si="10"/>
        <v>150</v>
      </c>
      <c r="N149" s="248">
        <f>RHcount!X143</f>
        <v>0</v>
      </c>
      <c r="O149" s="17"/>
      <c r="P149" s="17"/>
      <c r="Q149" s="17"/>
      <c r="R149" s="17"/>
      <c r="S149" s="17"/>
      <c r="T149" s="17"/>
      <c r="U149" s="4"/>
      <c r="V149" s="4"/>
    </row>
    <row r="150" spans="1:22" x14ac:dyDescent="0.25">
      <c r="A150" s="318" t="str">
        <f t="shared" si="11"/>
        <v>Fri</v>
      </c>
      <c r="B150" s="15">
        <v>44554</v>
      </c>
      <c r="C150" s="16">
        <v>0.91666666666666663</v>
      </c>
      <c r="D150" s="6">
        <v>28.5</v>
      </c>
      <c r="E150" s="6">
        <v>19.399999999999999</v>
      </c>
      <c r="F150" s="6">
        <v>148</v>
      </c>
      <c r="G150" s="6">
        <v>9</v>
      </c>
      <c r="H150" s="6">
        <v>9.1</v>
      </c>
      <c r="I150" s="6"/>
      <c r="J150" s="6"/>
      <c r="K150" s="6"/>
      <c r="L150" s="20"/>
      <c r="M150" s="84">
        <f t="shared" si="10"/>
        <v>148</v>
      </c>
      <c r="N150" s="248">
        <f>RHcount!X144</f>
        <v>0</v>
      </c>
      <c r="O150" s="17"/>
      <c r="P150" s="17"/>
      <c r="Q150" s="17"/>
      <c r="R150" s="17"/>
      <c r="S150" s="17"/>
      <c r="T150" s="17"/>
      <c r="U150" s="4"/>
      <c r="V150" s="4"/>
    </row>
    <row r="151" spans="1:22" x14ac:dyDescent="0.25">
      <c r="A151" s="318" t="str">
        <f t="shared" si="11"/>
        <v>Fri</v>
      </c>
      <c r="B151" s="15">
        <v>44554</v>
      </c>
      <c r="C151" s="16">
        <v>0.95833333333333337</v>
      </c>
      <c r="D151" s="6">
        <v>26.7</v>
      </c>
      <c r="E151" s="6">
        <v>22</v>
      </c>
      <c r="F151" s="6">
        <v>145</v>
      </c>
      <c r="G151" s="6">
        <v>9</v>
      </c>
      <c r="H151" s="6">
        <v>9.1</v>
      </c>
      <c r="I151" s="6"/>
      <c r="J151" s="6"/>
      <c r="K151" s="6"/>
      <c r="L151" s="20"/>
      <c r="M151" s="84">
        <f t="shared" si="10"/>
        <v>145</v>
      </c>
      <c r="N151" s="248">
        <f>RHcount!X145</f>
        <v>0</v>
      </c>
      <c r="O151" s="17"/>
      <c r="P151" s="17"/>
      <c r="Q151" s="17"/>
      <c r="R151" s="17"/>
      <c r="S151" s="17"/>
      <c r="T151" s="17"/>
      <c r="U151" s="4"/>
      <c r="V151" s="4"/>
    </row>
    <row r="152" spans="1:22" x14ac:dyDescent="0.25">
      <c r="A152" s="318" t="str">
        <f t="shared" si="11"/>
        <v>Sat</v>
      </c>
      <c r="B152" s="15">
        <v>44555</v>
      </c>
      <c r="C152" s="16">
        <v>0</v>
      </c>
      <c r="D152" s="6">
        <v>26</v>
      </c>
      <c r="E152" s="6">
        <v>23.4</v>
      </c>
      <c r="F152" s="6">
        <v>131</v>
      </c>
      <c r="G152" s="6">
        <v>9</v>
      </c>
      <c r="H152" s="6">
        <v>9.1</v>
      </c>
      <c r="I152" s="6"/>
      <c r="J152" s="6"/>
      <c r="K152" s="6"/>
      <c r="L152" s="20"/>
      <c r="M152" s="84">
        <f t="shared" si="10"/>
        <v>131</v>
      </c>
      <c r="N152" s="248">
        <f>RHcount!X146</f>
        <v>0</v>
      </c>
      <c r="O152" s="17"/>
      <c r="P152" s="17"/>
      <c r="Q152" s="17"/>
      <c r="R152" s="17"/>
      <c r="S152" s="17"/>
      <c r="T152" s="17"/>
      <c r="U152" s="4"/>
      <c r="V152" s="4"/>
    </row>
    <row r="153" spans="1:22" x14ac:dyDescent="0.25">
      <c r="A153" s="318" t="str">
        <f t="shared" si="11"/>
        <v>Sat</v>
      </c>
      <c r="B153" s="15">
        <v>44555</v>
      </c>
      <c r="C153" s="16">
        <v>4.1666666666666664E-2</v>
      </c>
      <c r="D153" s="6">
        <v>24.8</v>
      </c>
      <c r="E153" s="6">
        <v>25</v>
      </c>
      <c r="F153" s="6">
        <v>122</v>
      </c>
      <c r="G153" s="6">
        <v>10</v>
      </c>
      <c r="H153" s="6">
        <v>9.1</v>
      </c>
      <c r="I153" s="6"/>
      <c r="J153" s="6"/>
      <c r="K153" s="6"/>
      <c r="L153" s="20"/>
      <c r="M153" s="84">
        <f t="shared" si="10"/>
        <v>122</v>
      </c>
      <c r="N153" s="248">
        <f>RHcount!X147</f>
        <v>0</v>
      </c>
      <c r="O153" s="17"/>
      <c r="P153" s="17"/>
      <c r="Q153" s="17"/>
      <c r="R153" s="17"/>
      <c r="S153" s="17"/>
      <c r="T153" s="17"/>
      <c r="U153" s="4"/>
      <c r="V153" s="4"/>
    </row>
    <row r="154" spans="1:22" x14ac:dyDescent="0.25">
      <c r="A154" s="318" t="str">
        <f t="shared" si="11"/>
        <v>Sat</v>
      </c>
      <c r="B154" s="15">
        <v>44555</v>
      </c>
      <c r="C154" s="16">
        <v>8.3333333333333329E-2</v>
      </c>
      <c r="D154" s="6">
        <v>23.8</v>
      </c>
      <c r="E154" s="6">
        <v>26.7</v>
      </c>
      <c r="F154" s="6">
        <v>123</v>
      </c>
      <c r="G154" s="6">
        <v>10</v>
      </c>
      <c r="H154" s="6">
        <v>9.1</v>
      </c>
      <c r="I154" s="6"/>
      <c r="J154" s="6"/>
      <c r="K154" s="6"/>
      <c r="L154" s="20"/>
      <c r="M154" s="84">
        <f t="shared" si="10"/>
        <v>123</v>
      </c>
      <c r="N154" s="248">
        <f>RHcount!X148</f>
        <v>0</v>
      </c>
      <c r="O154" s="17"/>
      <c r="P154" s="17"/>
      <c r="Q154" s="17"/>
      <c r="R154" s="17"/>
      <c r="S154" s="17"/>
      <c r="T154" s="17"/>
      <c r="U154" s="4"/>
      <c r="V154" s="4"/>
    </row>
    <row r="155" spans="1:22" x14ac:dyDescent="0.25">
      <c r="A155" s="318" t="str">
        <f t="shared" si="11"/>
        <v>Sat</v>
      </c>
      <c r="B155" s="15">
        <v>44555</v>
      </c>
      <c r="C155" s="16">
        <v>0.125</v>
      </c>
      <c r="D155" s="6">
        <v>22.5</v>
      </c>
      <c r="E155" s="6">
        <v>32.700000000000003</v>
      </c>
      <c r="F155" s="6">
        <v>121</v>
      </c>
      <c r="G155" s="6">
        <v>10</v>
      </c>
      <c r="H155" s="6">
        <v>9.1</v>
      </c>
      <c r="I155" s="6"/>
      <c r="J155" s="6"/>
      <c r="K155" s="6"/>
      <c r="L155" s="20"/>
      <c r="M155" s="84">
        <f t="shared" si="10"/>
        <v>121</v>
      </c>
      <c r="N155" s="248">
        <f>RHcount!X149</f>
        <v>0</v>
      </c>
      <c r="O155" s="17"/>
      <c r="P155" s="17"/>
      <c r="Q155" s="17"/>
      <c r="R155" s="17"/>
      <c r="S155" s="17"/>
      <c r="T155" s="17"/>
      <c r="U155" s="4"/>
      <c r="V155" s="4"/>
    </row>
    <row r="156" spans="1:22" x14ac:dyDescent="0.25">
      <c r="A156" s="318" t="str">
        <f t="shared" si="11"/>
        <v>Sat</v>
      </c>
      <c r="B156" s="15">
        <v>44555</v>
      </c>
      <c r="C156" s="16">
        <v>0.16666666666666666</v>
      </c>
      <c r="D156" s="6">
        <v>21.6</v>
      </c>
      <c r="E156" s="6">
        <v>38.4</v>
      </c>
      <c r="F156" s="6">
        <v>119</v>
      </c>
      <c r="G156" s="6">
        <v>9</v>
      </c>
      <c r="H156" s="6">
        <v>9.1</v>
      </c>
      <c r="I156" s="6"/>
      <c r="J156" s="6"/>
      <c r="K156" s="6"/>
      <c r="L156" s="20"/>
      <c r="M156" s="84">
        <f t="shared" si="10"/>
        <v>119</v>
      </c>
      <c r="N156" s="248">
        <f>RHcount!X150</f>
        <v>0</v>
      </c>
      <c r="O156" s="17"/>
      <c r="P156" s="17"/>
      <c r="Q156" s="17"/>
      <c r="R156" s="17"/>
      <c r="S156" s="17"/>
      <c r="T156" s="17"/>
      <c r="U156" s="4"/>
      <c r="V156" s="4"/>
    </row>
    <row r="157" spans="1:22" x14ac:dyDescent="0.25">
      <c r="A157" s="318" t="str">
        <f t="shared" si="11"/>
        <v>Sat</v>
      </c>
      <c r="B157" s="15">
        <v>44555</v>
      </c>
      <c r="C157" s="16">
        <v>0.20833333333333334</v>
      </c>
      <c r="D157" s="6">
        <v>20.7</v>
      </c>
      <c r="E157" s="6">
        <v>44.9</v>
      </c>
      <c r="F157" s="6">
        <v>117</v>
      </c>
      <c r="G157" s="6">
        <v>9</v>
      </c>
      <c r="H157" s="6">
        <v>9.1</v>
      </c>
      <c r="I157" s="6"/>
      <c r="J157" s="6"/>
      <c r="K157" s="6"/>
      <c r="L157" s="20"/>
      <c r="M157" s="84">
        <f t="shared" si="10"/>
        <v>117</v>
      </c>
      <c r="N157" s="248">
        <f>RHcount!X151</f>
        <v>0</v>
      </c>
      <c r="O157" s="17"/>
      <c r="P157" s="17"/>
      <c r="Q157" s="17"/>
      <c r="R157" s="17"/>
      <c r="S157" s="17"/>
      <c r="T157" s="17"/>
      <c r="U157" s="4"/>
      <c r="V157" s="4"/>
    </row>
    <row r="158" spans="1:22" x14ac:dyDescent="0.25">
      <c r="A158" s="318" t="str">
        <f t="shared" si="11"/>
        <v>Sat</v>
      </c>
      <c r="B158" s="15">
        <v>44555</v>
      </c>
      <c r="C158" s="16">
        <v>0.25</v>
      </c>
      <c r="D158" s="6">
        <v>20.6</v>
      </c>
      <c r="E158" s="6">
        <v>46.4</v>
      </c>
      <c r="F158" s="6">
        <v>113</v>
      </c>
      <c r="G158" s="6">
        <v>9</v>
      </c>
      <c r="H158" s="6">
        <v>9.1</v>
      </c>
      <c r="I158" s="6"/>
      <c r="J158" s="6"/>
      <c r="K158" s="6"/>
      <c r="L158" s="20"/>
      <c r="M158" s="84">
        <f t="shared" si="10"/>
        <v>113</v>
      </c>
      <c r="N158" s="248">
        <f>RHcount!X152</f>
        <v>0</v>
      </c>
      <c r="O158" s="17"/>
      <c r="P158" s="17"/>
      <c r="Q158" s="17"/>
      <c r="R158" s="17"/>
      <c r="S158" s="17"/>
      <c r="T158" s="17"/>
      <c r="U158" s="4"/>
      <c r="V158" s="4"/>
    </row>
    <row r="159" spans="1:22" x14ac:dyDescent="0.25">
      <c r="A159" s="318" t="str">
        <f t="shared" si="11"/>
        <v>Sat</v>
      </c>
      <c r="B159" s="15">
        <v>44555</v>
      </c>
      <c r="C159" s="16">
        <v>0.29166666666666669</v>
      </c>
      <c r="D159" s="6">
        <v>22.2</v>
      </c>
      <c r="E159" s="6">
        <v>42.7</v>
      </c>
      <c r="F159" s="6">
        <v>111</v>
      </c>
      <c r="G159" s="6">
        <v>10</v>
      </c>
      <c r="H159" s="6">
        <v>9.1</v>
      </c>
      <c r="I159" s="6"/>
      <c r="J159" s="6"/>
      <c r="K159" s="6"/>
      <c r="L159" s="20"/>
      <c r="M159" s="84">
        <f t="shared" si="10"/>
        <v>111</v>
      </c>
      <c r="N159" s="248">
        <f>RHcount!X153</f>
        <v>0</v>
      </c>
      <c r="O159" s="17"/>
      <c r="P159" s="17"/>
      <c r="Q159" s="17"/>
      <c r="R159" s="17"/>
      <c r="S159" s="17"/>
      <c r="T159" s="17"/>
      <c r="U159" s="4"/>
      <c r="V159" s="4"/>
    </row>
    <row r="160" spans="1:22" x14ac:dyDescent="0.25">
      <c r="A160" s="318" t="str">
        <f t="shared" si="11"/>
        <v>Sat</v>
      </c>
      <c r="B160" s="15">
        <v>44555</v>
      </c>
      <c r="C160" s="16">
        <v>0.33333333333333331</v>
      </c>
      <c r="D160" s="6">
        <v>25.5</v>
      </c>
      <c r="E160" s="6">
        <v>35.700000000000003</v>
      </c>
      <c r="F160" s="6">
        <v>98</v>
      </c>
      <c r="G160" s="6">
        <v>14</v>
      </c>
      <c r="H160" s="6">
        <v>9.1</v>
      </c>
      <c r="I160" s="6"/>
      <c r="J160" s="6"/>
      <c r="K160" s="6"/>
      <c r="L160" s="20"/>
      <c r="M160" s="84">
        <f t="shared" si="10"/>
        <v>98</v>
      </c>
      <c r="N160" s="248">
        <f>RHcount!X154</f>
        <v>0</v>
      </c>
      <c r="O160" s="17"/>
      <c r="P160" s="17"/>
      <c r="Q160" s="17"/>
      <c r="R160" s="17"/>
      <c r="S160" s="17"/>
      <c r="T160" s="17"/>
      <c r="U160" s="4"/>
      <c r="V160" s="4"/>
    </row>
    <row r="161" spans="1:22" x14ac:dyDescent="0.25">
      <c r="A161" s="318" t="str">
        <f t="shared" si="11"/>
        <v>Sat</v>
      </c>
      <c r="B161" s="15">
        <v>44555</v>
      </c>
      <c r="C161" s="16">
        <v>0.375</v>
      </c>
      <c r="D161" s="6">
        <v>28.4</v>
      </c>
      <c r="E161" s="6">
        <v>31.8</v>
      </c>
      <c r="F161" s="6">
        <v>79</v>
      </c>
      <c r="G161" s="6">
        <v>10</v>
      </c>
      <c r="H161" s="6">
        <v>9.1</v>
      </c>
      <c r="I161" s="6"/>
      <c r="J161" s="6"/>
      <c r="K161" s="6"/>
      <c r="L161" s="20"/>
      <c r="M161" s="84">
        <f t="shared" si="10"/>
        <v>79</v>
      </c>
      <c r="N161" s="248">
        <f>RHcount!X155</f>
        <v>0</v>
      </c>
      <c r="O161" s="17"/>
      <c r="P161" s="17"/>
      <c r="Q161" s="17"/>
      <c r="R161" s="17"/>
      <c r="S161" s="17"/>
      <c r="T161" s="17"/>
      <c r="U161" s="4"/>
      <c r="V161" s="4"/>
    </row>
    <row r="162" spans="1:22" x14ac:dyDescent="0.25">
      <c r="A162" s="318" t="str">
        <f t="shared" si="11"/>
        <v>Sat</v>
      </c>
      <c r="B162" s="15">
        <v>44555</v>
      </c>
      <c r="C162" s="16">
        <v>0.41666666666666669</v>
      </c>
      <c r="D162" s="6">
        <v>31.4</v>
      </c>
      <c r="E162" s="6">
        <v>24.7</v>
      </c>
      <c r="F162" s="6">
        <v>61</v>
      </c>
      <c r="G162" s="6">
        <v>16</v>
      </c>
      <c r="H162" s="6">
        <v>9.1</v>
      </c>
      <c r="I162" s="6"/>
      <c r="J162" s="6"/>
      <c r="K162" s="6"/>
      <c r="L162" s="20"/>
      <c r="M162" s="84">
        <f t="shared" si="10"/>
        <v>61</v>
      </c>
      <c r="N162" s="248">
        <f>RHcount!X156</f>
        <v>0</v>
      </c>
      <c r="O162" s="17"/>
      <c r="P162" s="17"/>
      <c r="Q162" s="17"/>
      <c r="R162" s="17"/>
      <c r="S162" s="17"/>
      <c r="T162" s="17"/>
      <c r="U162" s="4"/>
      <c r="V162" s="4"/>
    </row>
    <row r="163" spans="1:22" x14ac:dyDescent="0.25">
      <c r="A163" s="318" t="str">
        <f t="shared" si="11"/>
        <v>Sat</v>
      </c>
      <c r="B163" s="15">
        <v>44555</v>
      </c>
      <c r="C163" s="16">
        <v>0.45833333333333331</v>
      </c>
      <c r="D163" s="6">
        <v>33.9</v>
      </c>
      <c r="E163" s="6">
        <v>20.3</v>
      </c>
      <c r="F163" s="6">
        <v>56</v>
      </c>
      <c r="G163" s="6">
        <v>17</v>
      </c>
      <c r="H163" s="6">
        <v>9.1</v>
      </c>
      <c r="I163" s="6"/>
      <c r="J163" s="6"/>
      <c r="K163" s="6"/>
      <c r="L163" s="20"/>
      <c r="M163" s="84">
        <f t="shared" si="10"/>
        <v>56</v>
      </c>
      <c r="N163" s="248">
        <f>RHcount!X157</f>
        <v>0</v>
      </c>
      <c r="O163" s="17"/>
      <c r="P163" s="17"/>
      <c r="Q163" s="17"/>
      <c r="R163" s="17"/>
      <c r="S163" s="17"/>
      <c r="T163" s="17"/>
      <c r="U163" s="4"/>
      <c r="V163" s="4"/>
    </row>
    <row r="164" spans="1:22" x14ac:dyDescent="0.25">
      <c r="A164" s="318" t="str">
        <f t="shared" si="11"/>
        <v>Sat</v>
      </c>
      <c r="B164" s="15">
        <v>44555</v>
      </c>
      <c r="C164" s="16">
        <v>0.5</v>
      </c>
      <c r="D164" s="6">
        <v>35.4</v>
      </c>
      <c r="E164" s="6">
        <v>18.5</v>
      </c>
      <c r="F164" s="6">
        <v>90</v>
      </c>
      <c r="G164" s="6">
        <v>17</v>
      </c>
      <c r="H164" s="6">
        <v>9.1</v>
      </c>
      <c r="I164" s="6"/>
      <c r="J164" s="6"/>
      <c r="K164" s="6"/>
      <c r="L164" s="20"/>
      <c r="M164" s="84">
        <f t="shared" si="10"/>
        <v>90</v>
      </c>
      <c r="N164" s="248">
        <f>RHcount!X158</f>
        <v>0</v>
      </c>
      <c r="O164" s="17"/>
      <c r="P164" s="17"/>
      <c r="Q164" s="17"/>
      <c r="R164" s="17"/>
      <c r="S164" s="17"/>
      <c r="T164" s="17"/>
      <c r="U164" s="4"/>
      <c r="V164" s="4"/>
    </row>
    <row r="165" spans="1:22" x14ac:dyDescent="0.25">
      <c r="A165" s="318" t="str">
        <f t="shared" si="11"/>
        <v>Sat</v>
      </c>
      <c r="B165" s="15">
        <v>44555</v>
      </c>
      <c r="C165" s="16">
        <v>0.54166666666666663</v>
      </c>
      <c r="D165" s="6">
        <v>36.6</v>
      </c>
      <c r="E165" s="6">
        <v>16.899999999999999</v>
      </c>
      <c r="F165" s="6">
        <v>117</v>
      </c>
      <c r="G165" s="6">
        <v>18</v>
      </c>
      <c r="H165" s="6">
        <v>9.1</v>
      </c>
      <c r="I165" s="6"/>
      <c r="J165" s="6"/>
      <c r="K165" s="6"/>
      <c r="L165" s="20"/>
      <c r="M165" s="84">
        <f t="shared" si="10"/>
        <v>117</v>
      </c>
      <c r="N165" s="248">
        <f>RHcount!X159</f>
        <v>0</v>
      </c>
      <c r="O165" s="17"/>
      <c r="P165" s="17"/>
      <c r="Q165" s="17"/>
      <c r="R165" s="17"/>
      <c r="S165" s="17"/>
      <c r="T165" s="17"/>
      <c r="U165" s="4"/>
      <c r="V165" s="4"/>
    </row>
    <row r="166" spans="1:22" x14ac:dyDescent="0.25">
      <c r="A166" s="318" t="str">
        <f t="shared" si="11"/>
        <v>Sat</v>
      </c>
      <c r="B166" s="15">
        <v>44555</v>
      </c>
      <c r="C166" s="16">
        <v>0.58333333333333337</v>
      </c>
      <c r="D166" s="6">
        <v>37.6</v>
      </c>
      <c r="E166" s="6">
        <v>14.9</v>
      </c>
      <c r="F166" s="6">
        <v>131</v>
      </c>
      <c r="G166" s="6">
        <v>19</v>
      </c>
      <c r="H166" s="6">
        <v>9.1</v>
      </c>
      <c r="I166" s="6"/>
      <c r="J166" s="6"/>
      <c r="K166" s="6"/>
      <c r="L166" s="20"/>
      <c r="M166" s="84">
        <f t="shared" si="10"/>
        <v>131</v>
      </c>
      <c r="N166" s="248">
        <f>RHcount!X160</f>
        <v>0</v>
      </c>
      <c r="O166" s="17"/>
      <c r="P166" s="17"/>
      <c r="Q166" s="17"/>
      <c r="R166" s="17"/>
      <c r="S166" s="17"/>
      <c r="T166" s="17"/>
      <c r="U166" s="4"/>
      <c r="V166" s="4"/>
    </row>
    <row r="167" spans="1:22" x14ac:dyDescent="0.25">
      <c r="A167" s="318" t="str">
        <f t="shared" si="11"/>
        <v>Sat</v>
      </c>
      <c r="B167" s="15">
        <v>44555</v>
      </c>
      <c r="C167" s="16">
        <v>0.625</v>
      </c>
      <c r="D167" s="6">
        <v>38</v>
      </c>
      <c r="E167" s="6">
        <v>14.2</v>
      </c>
      <c r="F167" s="6">
        <v>176</v>
      </c>
      <c r="G167" s="6">
        <v>17</v>
      </c>
      <c r="H167" s="6">
        <v>9.1</v>
      </c>
      <c r="I167" s="6"/>
      <c r="J167" s="6"/>
      <c r="K167" s="6"/>
      <c r="L167" s="20"/>
      <c r="M167" s="84">
        <f t="shared" si="10"/>
        <v>176</v>
      </c>
      <c r="N167" s="248">
        <f>RHcount!X161</f>
        <v>0</v>
      </c>
      <c r="O167" s="17"/>
      <c r="P167" s="17"/>
      <c r="Q167" s="17"/>
      <c r="R167" s="17"/>
      <c r="S167" s="17"/>
      <c r="T167" s="17"/>
      <c r="U167" s="4"/>
      <c r="V167" s="4"/>
    </row>
    <row r="168" spans="1:22" x14ac:dyDescent="0.25">
      <c r="A168" s="318" t="str">
        <f t="shared" si="11"/>
        <v>Sat</v>
      </c>
      <c r="B168" s="15">
        <v>44555</v>
      </c>
      <c r="C168" s="16">
        <v>0.66666666666666663</v>
      </c>
      <c r="D168" s="6">
        <v>38.6</v>
      </c>
      <c r="E168" s="6">
        <v>13.4</v>
      </c>
      <c r="F168" s="6">
        <v>188</v>
      </c>
      <c r="G168" s="6">
        <v>18</v>
      </c>
      <c r="H168" s="6">
        <v>9.1</v>
      </c>
      <c r="I168" s="6"/>
      <c r="J168" s="6"/>
      <c r="K168" s="6"/>
      <c r="L168" s="20"/>
      <c r="M168" s="84">
        <f t="shared" si="10"/>
        <v>188</v>
      </c>
      <c r="N168" s="248">
        <f>RHcount!X162</f>
        <v>0</v>
      </c>
      <c r="O168" s="17"/>
      <c r="P168" s="17"/>
      <c r="Q168" s="17"/>
      <c r="R168" s="17"/>
      <c r="S168" s="17"/>
      <c r="T168" s="17"/>
      <c r="U168" s="4"/>
      <c r="V168" s="4"/>
    </row>
    <row r="169" spans="1:22" x14ac:dyDescent="0.25">
      <c r="A169" s="318" t="str">
        <f t="shared" si="11"/>
        <v>Sat</v>
      </c>
      <c r="B169" s="15">
        <v>44555</v>
      </c>
      <c r="C169" s="16">
        <v>0.70833333333333337</v>
      </c>
      <c r="D169" s="6">
        <v>38.6</v>
      </c>
      <c r="E169" s="6">
        <v>13.1</v>
      </c>
      <c r="F169" s="6">
        <v>195</v>
      </c>
      <c r="G169" s="6">
        <v>17</v>
      </c>
      <c r="H169" s="6">
        <v>9.1</v>
      </c>
      <c r="I169" s="6"/>
      <c r="J169" s="6"/>
      <c r="K169" s="6"/>
      <c r="L169" s="20"/>
      <c r="M169" s="84">
        <f t="shared" si="10"/>
        <v>195</v>
      </c>
      <c r="N169" s="248">
        <f>RHcount!X163</f>
        <v>0</v>
      </c>
      <c r="O169" s="17"/>
      <c r="P169" s="17"/>
      <c r="Q169" s="17"/>
      <c r="R169" s="17"/>
      <c r="S169" s="17"/>
      <c r="T169" s="17"/>
      <c r="U169" s="4"/>
      <c r="V169" s="4"/>
    </row>
    <row r="170" spans="1:22" x14ac:dyDescent="0.25">
      <c r="A170" s="318" t="str">
        <f t="shared" si="11"/>
        <v>Sat</v>
      </c>
      <c r="B170" s="15">
        <v>44555</v>
      </c>
      <c r="C170" s="16">
        <v>0.75</v>
      </c>
      <c r="D170" s="6">
        <v>37.799999999999997</v>
      </c>
      <c r="E170" s="6">
        <v>13.6</v>
      </c>
      <c r="F170" s="6">
        <v>191</v>
      </c>
      <c r="G170" s="6">
        <v>19</v>
      </c>
      <c r="H170" s="6">
        <v>9.1</v>
      </c>
      <c r="I170" s="6"/>
      <c r="J170" s="6"/>
      <c r="K170" s="6"/>
      <c r="L170" s="20"/>
      <c r="M170" s="84">
        <f t="shared" si="10"/>
        <v>191</v>
      </c>
      <c r="N170" s="248">
        <f>RHcount!X164</f>
        <v>0</v>
      </c>
      <c r="O170" s="17"/>
      <c r="P170" s="17"/>
      <c r="Q170" s="17"/>
      <c r="R170" s="17"/>
      <c r="S170" s="17"/>
      <c r="T170" s="17"/>
      <c r="U170" s="4"/>
      <c r="V170" s="4"/>
    </row>
    <row r="171" spans="1:22" x14ac:dyDescent="0.25">
      <c r="A171" s="318" t="str">
        <f t="shared" si="11"/>
        <v>Sat</v>
      </c>
      <c r="B171" s="15">
        <v>44555</v>
      </c>
      <c r="C171" s="16">
        <v>0.79166666666666663</v>
      </c>
      <c r="D171" s="6">
        <v>37</v>
      </c>
      <c r="E171" s="6">
        <v>14.3</v>
      </c>
      <c r="F171" s="6">
        <v>185</v>
      </c>
      <c r="G171" s="6">
        <v>16</v>
      </c>
      <c r="H171" s="6">
        <v>9.1</v>
      </c>
      <c r="I171" s="6"/>
      <c r="J171" s="6"/>
      <c r="K171" s="6"/>
      <c r="L171" s="20"/>
      <c r="M171" s="84">
        <f t="shared" si="10"/>
        <v>185</v>
      </c>
      <c r="N171" s="248">
        <f>RHcount!X165</f>
        <v>0</v>
      </c>
      <c r="O171" s="17"/>
      <c r="P171" s="17"/>
      <c r="Q171" s="17"/>
      <c r="R171" s="17"/>
      <c r="S171" s="17"/>
      <c r="T171" s="17"/>
      <c r="U171" s="4"/>
      <c r="V171" s="4"/>
    </row>
    <row r="172" spans="1:22" x14ac:dyDescent="0.25">
      <c r="A172" s="318" t="str">
        <f t="shared" si="11"/>
        <v>Sat</v>
      </c>
      <c r="B172" s="15">
        <v>44555</v>
      </c>
      <c r="C172" s="16">
        <v>0.83333333333333337</v>
      </c>
      <c r="D172" s="6">
        <v>35.4</v>
      </c>
      <c r="E172" s="6">
        <v>16.3</v>
      </c>
      <c r="F172" s="6">
        <v>175</v>
      </c>
      <c r="G172" s="6">
        <v>15</v>
      </c>
      <c r="H172" s="6">
        <v>9.1</v>
      </c>
      <c r="I172" s="6"/>
      <c r="J172" s="6"/>
      <c r="K172" s="6"/>
      <c r="L172" s="20"/>
      <c r="M172" s="84">
        <f t="shared" si="10"/>
        <v>175</v>
      </c>
      <c r="N172" s="248">
        <f>RHcount!X166</f>
        <v>0</v>
      </c>
      <c r="O172" s="17"/>
      <c r="P172" s="17"/>
      <c r="Q172" s="17"/>
      <c r="R172" s="17"/>
      <c r="S172" s="17"/>
      <c r="T172" s="17"/>
      <c r="U172" s="4"/>
      <c r="V172" s="4"/>
    </row>
    <row r="173" spans="1:22" x14ac:dyDescent="0.25">
      <c r="A173" s="318" t="str">
        <f t="shared" si="11"/>
        <v>Sat</v>
      </c>
      <c r="B173" s="15">
        <v>44555</v>
      </c>
      <c r="C173" s="16">
        <v>0.875</v>
      </c>
      <c r="D173" s="6">
        <v>32.799999999999997</v>
      </c>
      <c r="E173" s="6">
        <v>19.899999999999999</v>
      </c>
      <c r="F173" s="6">
        <v>175</v>
      </c>
      <c r="G173" s="6">
        <v>14</v>
      </c>
      <c r="H173" s="6">
        <v>9.1</v>
      </c>
      <c r="I173" s="6"/>
      <c r="J173" s="6"/>
      <c r="K173" s="6"/>
      <c r="L173" s="20"/>
      <c r="M173" s="84">
        <f t="shared" si="10"/>
        <v>175</v>
      </c>
      <c r="N173" s="248">
        <f>RHcount!X167</f>
        <v>0</v>
      </c>
      <c r="O173" s="17"/>
      <c r="P173" s="17"/>
      <c r="Q173" s="17"/>
      <c r="R173" s="17"/>
      <c r="S173" s="17"/>
      <c r="T173" s="17"/>
      <c r="U173" s="4"/>
      <c r="V173" s="4"/>
    </row>
    <row r="174" spans="1:22" x14ac:dyDescent="0.25">
      <c r="A174" s="318" t="str">
        <f t="shared" si="11"/>
        <v>Sat</v>
      </c>
      <c r="B174" s="15">
        <v>44555</v>
      </c>
      <c r="C174" s="16">
        <v>0.91666666666666663</v>
      </c>
      <c r="D174" s="6">
        <v>30.4</v>
      </c>
      <c r="E174" s="6">
        <v>23.9</v>
      </c>
      <c r="F174" s="6">
        <v>155</v>
      </c>
      <c r="G174" s="6">
        <v>14</v>
      </c>
      <c r="H174" s="6">
        <v>9.1</v>
      </c>
      <c r="I174" s="6"/>
      <c r="J174" s="6"/>
      <c r="K174" s="6"/>
      <c r="L174" s="20"/>
      <c r="M174" s="84">
        <f t="shared" si="10"/>
        <v>155</v>
      </c>
      <c r="N174" s="248">
        <f>RHcount!X168</f>
        <v>0</v>
      </c>
      <c r="O174" s="17"/>
      <c r="P174" s="17"/>
      <c r="Q174" s="17"/>
      <c r="R174" s="17"/>
      <c r="S174" s="17"/>
      <c r="T174" s="17"/>
      <c r="U174" s="4"/>
      <c r="V174" s="4"/>
    </row>
    <row r="175" spans="1:22" x14ac:dyDescent="0.25">
      <c r="A175" s="318" t="str">
        <f t="shared" si="11"/>
        <v>Sat</v>
      </c>
      <c r="B175" s="15">
        <v>44555</v>
      </c>
      <c r="C175" s="16">
        <v>0.95833333333333337</v>
      </c>
      <c r="D175" s="6">
        <v>28.7</v>
      </c>
      <c r="E175" s="6">
        <v>27.7</v>
      </c>
      <c r="F175" s="6">
        <v>152</v>
      </c>
      <c r="G175" s="6">
        <v>15</v>
      </c>
      <c r="H175" s="6">
        <v>9.1</v>
      </c>
      <c r="I175" s="6"/>
      <c r="J175" s="6"/>
      <c r="K175" s="6"/>
      <c r="L175" s="20"/>
      <c r="M175" s="84">
        <f t="shared" si="10"/>
        <v>152</v>
      </c>
      <c r="N175" s="248">
        <f>RHcount!X169</f>
        <v>0</v>
      </c>
      <c r="O175" s="17"/>
      <c r="P175" s="17"/>
      <c r="Q175" s="17"/>
      <c r="R175" s="17"/>
      <c r="S175" s="17"/>
      <c r="T175" s="17"/>
      <c r="U175" s="4"/>
      <c r="V175" s="4"/>
    </row>
    <row r="176" spans="1:22" x14ac:dyDescent="0.25">
      <c r="A176" s="318" t="str">
        <f t="shared" si="11"/>
        <v>Sun</v>
      </c>
      <c r="B176" s="15">
        <v>44556</v>
      </c>
      <c r="C176" s="16">
        <v>0</v>
      </c>
      <c r="D176" s="6">
        <v>26.9</v>
      </c>
      <c r="E176" s="6">
        <v>32</v>
      </c>
      <c r="F176" s="6">
        <v>160</v>
      </c>
      <c r="G176" s="6">
        <v>14</v>
      </c>
      <c r="H176" s="6">
        <v>9.1</v>
      </c>
      <c r="I176" s="6"/>
      <c r="J176" s="6"/>
      <c r="K176" s="6"/>
      <c r="L176" s="20"/>
      <c r="M176" s="84">
        <f t="shared" si="10"/>
        <v>160</v>
      </c>
      <c r="N176" s="248">
        <f>RHcount!X170</f>
        <v>0</v>
      </c>
      <c r="O176" s="17"/>
      <c r="P176" s="17"/>
      <c r="Q176" s="17"/>
      <c r="R176" s="17"/>
      <c r="S176" s="17"/>
      <c r="T176" s="17"/>
      <c r="U176" s="4"/>
      <c r="V176" s="4"/>
    </row>
    <row r="177" spans="1:22" x14ac:dyDescent="0.25">
      <c r="A177" s="318" t="str">
        <f t="shared" si="11"/>
        <v>Sun</v>
      </c>
      <c r="B177" s="15">
        <v>44556</v>
      </c>
      <c r="C177" s="16">
        <v>4.1666666666666664E-2</v>
      </c>
      <c r="D177" s="6">
        <v>25.2</v>
      </c>
      <c r="E177" s="6">
        <v>35.4</v>
      </c>
      <c r="F177" s="6">
        <v>190</v>
      </c>
      <c r="G177" s="6">
        <v>15</v>
      </c>
      <c r="H177" s="6">
        <v>9.1</v>
      </c>
      <c r="I177" s="6"/>
      <c r="J177" s="6"/>
      <c r="K177" s="6"/>
      <c r="L177" s="20"/>
      <c r="M177" s="84">
        <f t="shared" si="10"/>
        <v>190</v>
      </c>
      <c r="N177" s="248">
        <f>RHcount!X171</f>
        <v>0</v>
      </c>
      <c r="O177" s="17"/>
      <c r="P177" s="17"/>
      <c r="Q177" s="17"/>
      <c r="R177" s="17"/>
      <c r="S177" s="17"/>
      <c r="T177" s="17"/>
      <c r="U177" s="4"/>
      <c r="V177" s="4"/>
    </row>
    <row r="178" spans="1:22" x14ac:dyDescent="0.25">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5">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5">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5">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5">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5">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5">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5">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5">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5">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5">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5">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5">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5">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5">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5">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5">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5">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5">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5">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5">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5">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5">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5">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5">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5">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5">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5">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5">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5">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5">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5">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5">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5">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5">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5">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5">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5">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5">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5">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5">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5">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5">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5">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5">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5">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5">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5">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5">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5">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5">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5">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5">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5">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5">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5">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5">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5">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5">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5">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5">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5">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5">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5">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5">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5">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5">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5">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5">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5">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5">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5">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5">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5">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5">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5">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5">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5">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5">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5">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5">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5">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5">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5">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5">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5">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5">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5">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5">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5">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5">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5">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5">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5">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5">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5">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5">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5">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5">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5">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5">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5">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5">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5">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5">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5">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5">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5">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5">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5">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5">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5">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5">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5">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5">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5">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5">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5">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5">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5">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5">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5">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5">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5">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5">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5">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5">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5">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5">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5">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5">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5">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5">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5">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5">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5">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5">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5">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5">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5">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5">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5">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5">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24</v>
      </c>
      <c r="D4" s="173"/>
      <c r="E4" s="174"/>
      <c r="G4" s="199" t="s">
        <v>228</v>
      </c>
      <c r="H4" s="200"/>
      <c r="I4" s="201"/>
      <c r="J4" s="178">
        <v>3</v>
      </c>
    </row>
    <row r="5" spans="1:33" x14ac:dyDescent="0.25">
      <c r="A5" s="35" t="s">
        <v>35</v>
      </c>
      <c r="B5" s="35"/>
      <c r="C5" s="35">
        <f>Weather_Site!D6</f>
        <v>0</v>
      </c>
      <c r="G5" s="199" t="s">
        <v>673</v>
      </c>
      <c r="H5" s="200"/>
      <c r="I5" s="201"/>
      <c r="J5" s="178" t="b">
        <v>0</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24</v>
      </c>
      <c r="M9" s="51">
        <f>IF(Use_BOM_DF,Weather_Site!H12,IF(0.191*(Weather_Site!K12+104)*(Weather_Site!J12+1)^1.5/(3.52*(Weather_Site!J12+1)^1.5+Weather_Site!I12-1)&gt;10, 10,0.191*(Weather_Site!K12+104)*(Weather_Site!J12+1)^1.5/(3.52*(Weather_Site!J12+1)^1.5+Weather_Site!I12-1)))</f>
        <v>7.882539682539683</v>
      </c>
      <c r="N9" s="51">
        <f>2*EXP(-0.45+0.987*LN(M9)-0.0345*E9+0.0338*D9+0.0234*G9*3/J9)</f>
        <v>13.849884251909952</v>
      </c>
      <c r="O9" s="52">
        <f>0.0012*N9*L9*EXP(0.069*I9)*1000</f>
        <v>398.87666645500661</v>
      </c>
      <c r="P9" s="52">
        <f>0.0012*X9*L9*EXP(0.069*0)*1000</f>
        <v>274.30819196398608</v>
      </c>
      <c r="Q9" s="51">
        <f>(13*O9/EXP(0.069*I9)/1000+0.24*L9-2)</f>
        <v>8.9453966639150853</v>
      </c>
      <c r="R9" s="53">
        <f>IF((O9/1000*(4.17-0.033*L9)-0.36)*1000&lt;0,0,(O9/1000*(4.17-0.033*L9)-0.36)*1000)</f>
        <v>987.40537928501249</v>
      </c>
      <c r="S9" s="53">
        <f>516.7*L9*M9/10*O9/1000</f>
        <v>3899.0113610878529</v>
      </c>
      <c r="T9" s="53">
        <f>1860*L9*M9/10</f>
        <v>35187.657142857141</v>
      </c>
      <c r="U9" s="51">
        <f>3.033808*EXP(E9*(-0.00033169*D9+0.02638614))</f>
        <v>4.7422908561024055</v>
      </c>
      <c r="V9" s="52">
        <f>G9/3</f>
        <v>5.333333333333333</v>
      </c>
      <c r="W9" s="52">
        <f>G9/1.2</f>
        <v>13.333333333333334</v>
      </c>
      <c r="X9" s="51">
        <f>2*EXP(-0.45+0.987*LN(M9)-0.0345*E9+0.0338*D9+0.0234*0)</f>
        <v>9.5245899987495175</v>
      </c>
      <c r="Y9" s="51">
        <f>IF(HOUR(C9)&lt;12,12.519-(0.282*D9)+(0.112*E9),6.783-(0.17*D9)+(0.133*E9))</f>
        <v>8.4896000000000011</v>
      </c>
      <c r="Z9" s="51" t="e">
        <f>IF(Use_BOM_DF,M9/10,MIN(0.972+(0.342*LN(Weather_Site!J12))-(0.245*LN(Weather_Site!I12)),1))</f>
        <v>#NUM!</v>
      </c>
      <c r="AA9" s="52" t="e">
        <f>(0.22*L9*EXP(0.158*(1.674+0.179*G9)-0.227*Y9))*Z9*60</f>
        <v>#NUM!</v>
      </c>
      <c r="AB9" s="52" t="e">
        <f>AA9*EXP(0.0662*I9)</f>
        <v>#NUM!</v>
      </c>
      <c r="AC9" s="52" t="e">
        <f>(0.22*L9*EXP(0.158*0-0.227*Y9))*Z9*60</f>
        <v>#NUM!</v>
      </c>
      <c r="AD9" s="51" t="e">
        <f>0.3048*31.7537*(1-EXP(-0.31772*AB9/18.3))*(1-EXP(-(0.03644*1.1289^(AB9/18.3))*(Z9*L9/2.2417)))</f>
        <v>#NUM!</v>
      </c>
      <c r="AE9" s="51" t="e">
        <f>IF(D9&lt;20,-2.19+(2.23*SQRT(AA9)),-0.296+(2.23*SQRT(AA9)))</f>
        <v>#NUM!</v>
      </c>
      <c r="AF9" s="53" t="e">
        <f>18000*(L9*Z9)*AB9/36000</f>
        <v>#NUM!</v>
      </c>
      <c r="AG9" s="323">
        <f>34.8 * M9 * EXP(0.0234 * G9) * U9 ^ -2.1</f>
        <v>15.17994057716788</v>
      </c>
    </row>
    <row r="10" spans="1:33" x14ac:dyDescent="0.25">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73" si="2">G10/J10</f>
        <v>4.333333333333333</v>
      </c>
      <c r="L10" s="172">
        <f t="shared" ref="L10:L11" si="3">C$4</f>
        <v>24</v>
      </c>
      <c r="M10" s="32">
        <f>IF(Use_BOM_DF,Weather_Site!H13,IF(0.191*(Weather_Site!K13+104)*(Weather_Site!J13+1)^1.5/(3.52*(Weather_Site!J13+1)^1.5+Weather_Site!I13-1)&gt;10, 10,0.191*(Weather_Site!K13+104)*(Weather_Site!J13+1)^1.5/(3.52*(Weather_Site!J13+1)^1.5+Weather_Site!I13-1)))</f>
        <v>7.882539682539683</v>
      </c>
      <c r="N10" s="32">
        <f t="shared" ref="N10:N73" si="4">2*EXP(-0.45+0.987*LN(M10)-0.0345*E10+0.0338*D10+0.0234*G10*3/J10)</f>
        <v>12.692825027306988</v>
      </c>
      <c r="O10" s="33">
        <f t="shared" ref="O10:O73" si="5">0.0012*N10*L10*EXP(0.069*I10)*1000</f>
        <v>365.55336078644126</v>
      </c>
      <c r="P10" s="33">
        <f t="shared" ref="P10:P73" si="6">0.0012*X10*L10*EXP(0.069*0)*1000</f>
        <v>269.67357941409512</v>
      </c>
      <c r="Q10" s="266">
        <f t="shared" ref="Q10:Q73" si="7">(13*O10/EXP(0.069*I10)/1000+0.24*L10-2)</f>
        <v>8.5121936902237358</v>
      </c>
      <c r="R10" s="268">
        <f t="shared" ref="R10:R73" si="8">IF((O10/1000*(4.17-0.033*L10)-0.36)*1000&lt;0,0,(O10/1000*(4.17-0.033*L10)-0.36)*1000)</f>
        <v>874.83925273659861</v>
      </c>
      <c r="S10" s="42">
        <f t="shared" ref="S10:S73" si="9">516.7*L10*M10/10*O10/1000</f>
        <v>3573.2767209910362</v>
      </c>
      <c r="T10" s="42">
        <f t="shared" ref="T10:T73" si="10">1860*L10*M10/10</f>
        <v>35187.657142857141</v>
      </c>
      <c r="U10" s="32">
        <f t="shared" ref="U10:U73" si="11">3.033808*EXP(E10*(-0.00033169*D10+0.02638614))</f>
        <v>4.771401334290938</v>
      </c>
      <c r="V10" s="33">
        <f t="shared" ref="V10:V73" si="12">G10/3</f>
        <v>4.333333333333333</v>
      </c>
      <c r="W10" s="33">
        <f t="shared" ref="W10:W73" si="13">G10/1.2</f>
        <v>10.833333333333334</v>
      </c>
      <c r="X10" s="32">
        <f t="shared" ref="X10:X73" si="14">2*EXP(-0.45+0.987*LN(M10)-0.0345*E10+0.0338*D10+0.0234*0)</f>
        <v>9.3636659518783016</v>
      </c>
      <c r="Y10" s="266">
        <f t="shared" ref="Y10:Y73" si="15">IF(HOUR(C10)&lt;12,12.519-(0.282*D10)+(0.112*E10),6.783-(0.17*D10)+(0.133*E10))</f>
        <v>8.5966000000000005</v>
      </c>
      <c r="Z10" s="266" t="e">
        <f>IF(Use_BOM_DF,M10/10,MIN(0.972+(0.342*LN(Weather_Site!J13))-(0.245*LN(Weather_Site!I13)),1))</f>
        <v>#NUM!</v>
      </c>
      <c r="AA10" s="265" t="e">
        <f t="shared" ref="AA10:AA73" si="16">(0.22*L10*EXP(0.158*(1.674+0.179*G10)-0.227*Y10))*Z10*60</f>
        <v>#NUM!</v>
      </c>
      <c r="AB10" s="265" t="e">
        <f t="shared" ref="AB10:AB73" si="17">AA10*EXP(0.0662*I10)</f>
        <v>#NUM!</v>
      </c>
      <c r="AC10" s="265" t="e">
        <f t="shared" ref="AC10:AC73" si="18">(0.22*L10*EXP(0.158*0-0.227*Y10))*Z10*60</f>
        <v>#NUM!</v>
      </c>
      <c r="AD10" s="266" t="e">
        <f t="shared" ref="AD10:AD73" si="19">0.3048*31.7537*(1-EXP(-0.31772*AB10/18.3))*(1-EXP(-(0.03644*1.1289^(AB10/18.3))*(Z10*L10/2.2417)))</f>
        <v>#NUM!</v>
      </c>
      <c r="AE10" s="32" t="e">
        <f t="shared" ref="AE10:AE73" si="20">IF(D10&lt;20,-2.19+(2.23*SQRT(AA10)),-0.296+(2.23*SQRT(AA10)))</f>
        <v>#NUM!</v>
      </c>
      <c r="AF10" s="42" t="e">
        <f t="shared" ref="AF10:AF73" si="21">18000*(L10*Z10)*AB10/36000</f>
        <v>#NUM!</v>
      </c>
      <c r="AG10" s="83">
        <f t="shared" ref="AG10:AG73" si="22">34.8 * M10 * EXP(0.0234 * G10) * U10 ^ -2.1</f>
        <v>13.97015745512816</v>
      </c>
    </row>
    <row r="11" spans="1:33" x14ac:dyDescent="0.25">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24</v>
      </c>
      <c r="M11" s="32">
        <f>IF(Use_BOM_DF,Weather_Site!H14,IF(0.191*(Weather_Site!K14+104)*(Weather_Site!J14+1)^1.5/(3.52*(Weather_Site!J14+1)^1.5+Weather_Site!I14-1)&gt;10, 10,0.191*(Weather_Site!K14+104)*(Weather_Site!J14+1)^1.5/(3.52*(Weather_Site!J14+1)^1.5+Weather_Site!I14-1)))</f>
        <v>7.882539682539683</v>
      </c>
      <c r="N11" s="32">
        <f t="shared" si="4"/>
        <v>11.950425391220405</v>
      </c>
      <c r="O11" s="33">
        <f t="shared" si="5"/>
        <v>344.1722512671476</v>
      </c>
      <c r="P11" s="33">
        <f t="shared" si="6"/>
        <v>236.68786847905378</v>
      </c>
      <c r="Q11" s="266">
        <f t="shared" si="7"/>
        <v>8.2342392664729189</v>
      </c>
      <c r="R11" s="268">
        <f t="shared" si="8"/>
        <v>802.61386478042471</v>
      </c>
      <c r="S11" s="42">
        <f t="shared" si="9"/>
        <v>3364.2768071347236</v>
      </c>
      <c r="T11" s="42">
        <f t="shared" si="10"/>
        <v>35187.657142857141</v>
      </c>
      <c r="U11" s="32">
        <f t="shared" si="11"/>
        <v>5.0764317746832441</v>
      </c>
      <c r="V11" s="33">
        <f t="shared" si="12"/>
        <v>5.333333333333333</v>
      </c>
      <c r="W11" s="33">
        <f t="shared" si="13"/>
        <v>13.333333333333334</v>
      </c>
      <c r="X11" s="32">
        <f t="shared" si="14"/>
        <v>8.2183287666338121</v>
      </c>
      <c r="Y11" s="266">
        <f t="shared" si="15"/>
        <v>9.175200000000002</v>
      </c>
      <c r="Z11" s="266" t="e">
        <f>IF(Use_BOM_DF,M11/10,MIN(0.972+(0.342*LN(Weather_Site!J14))-(0.245*LN(Weather_Site!I14)),1))</f>
        <v>#NUM!</v>
      </c>
      <c r="AA11" s="265" t="e">
        <f t="shared" si="16"/>
        <v>#NUM!</v>
      </c>
      <c r="AB11" s="265" t="e">
        <f t="shared" si="17"/>
        <v>#NUM!</v>
      </c>
      <c r="AC11" s="265" t="e">
        <f t="shared" si="18"/>
        <v>#NUM!</v>
      </c>
      <c r="AD11" s="266" t="e">
        <f t="shared" si="19"/>
        <v>#NUM!</v>
      </c>
      <c r="AE11" s="32" t="e">
        <f t="shared" si="20"/>
        <v>#NUM!</v>
      </c>
      <c r="AF11" s="42" t="e">
        <f t="shared" si="21"/>
        <v>#NUM!</v>
      </c>
      <c r="AG11" s="83">
        <f t="shared" si="22"/>
        <v>13.157467342289427</v>
      </c>
    </row>
    <row r="12" spans="1:33" x14ac:dyDescent="0.25">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24</v>
      </c>
      <c r="M12" s="32">
        <f>IF(Use_BOM_DF,Weather_Site!H15,IF(0.191*(Weather_Site!K15+104)*(Weather_Site!J15+1)^1.5/(3.52*(Weather_Site!J15+1)^1.5+Weather_Site!I15-1)&gt;10, 10,0.191*(Weather_Site!K15+104)*(Weather_Site!J15+1)^1.5/(3.52*(Weather_Site!J15+1)^1.5+Weather_Site!I15-1)))</f>
        <v>7.882539682539683</v>
      </c>
      <c r="N12" s="32">
        <f t="shared" si="4"/>
        <v>14.446567965867528</v>
      </c>
      <c r="O12" s="33">
        <f t="shared" si="5"/>
        <v>416.06115741698477</v>
      </c>
      <c r="P12" s="33">
        <f t="shared" si="6"/>
        <v>231.79010966935988</v>
      </c>
      <c r="Q12" s="266">
        <f t="shared" si="7"/>
        <v>9.1687950464208026</v>
      </c>
      <c r="R12" s="268">
        <f t="shared" si="8"/>
        <v>1045.4545897545747</v>
      </c>
      <c r="S12" s="42">
        <f t="shared" si="9"/>
        <v>4066.9894132781342</v>
      </c>
      <c r="T12" s="42">
        <f t="shared" si="10"/>
        <v>35187.657142857141</v>
      </c>
      <c r="U12" s="32">
        <f t="shared" si="11"/>
        <v>5.1488511397470536</v>
      </c>
      <c r="V12" s="33">
        <f t="shared" si="12"/>
        <v>8.3333333333333339</v>
      </c>
      <c r="W12" s="33">
        <f t="shared" si="13"/>
        <v>20.833333333333336</v>
      </c>
      <c r="X12" s="32">
        <f t="shared" si="14"/>
        <v>8.0482676968527738</v>
      </c>
      <c r="Y12" s="266">
        <f t="shared" si="15"/>
        <v>9.1913999999999998</v>
      </c>
      <c r="Z12" s="266" t="e">
        <f>IF(Use_BOM_DF,M12/10,MIN(0.972+(0.342*LN(Weather_Site!J15))-(0.245*LN(Weather_Site!I15)),1))</f>
        <v>#NUM!</v>
      </c>
      <c r="AA12" s="265" t="e">
        <f t="shared" si="16"/>
        <v>#NUM!</v>
      </c>
      <c r="AB12" s="265" t="e">
        <f t="shared" si="17"/>
        <v>#NUM!</v>
      </c>
      <c r="AC12" s="265" t="e">
        <f t="shared" si="18"/>
        <v>#NUM!</v>
      </c>
      <c r="AD12" s="266" t="e">
        <f t="shared" si="19"/>
        <v>#NUM!</v>
      </c>
      <c r="AE12" s="32" t="e">
        <f t="shared" si="20"/>
        <v>#NUM!</v>
      </c>
      <c r="AF12" s="42" t="e">
        <f t="shared" si="21"/>
        <v>#NUM!</v>
      </c>
      <c r="AG12" s="83">
        <f t="shared" si="22"/>
        <v>15.765798662442382</v>
      </c>
    </row>
    <row r="13" spans="1:33" x14ac:dyDescent="0.25">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24</v>
      </c>
      <c r="M13" s="32">
        <f>IF(Use_BOM_DF,Weather_Site!H16,IF(0.191*(Weather_Site!K16+104)*(Weather_Site!J16+1)^1.5/(3.52*(Weather_Site!J16+1)^1.5+Weather_Site!I16-1)&gt;10, 10,0.191*(Weather_Site!K16+104)*(Weather_Site!J16+1)^1.5/(3.52*(Weather_Site!J16+1)^1.5+Weather_Site!I16-1)))</f>
        <v>7.882539682539683</v>
      </c>
      <c r="N13" s="32">
        <f t="shared" si="4"/>
        <v>19.8439043699466</v>
      </c>
      <c r="O13" s="33">
        <f t="shared" si="5"/>
        <v>571.50444585446201</v>
      </c>
      <c r="P13" s="33">
        <f t="shared" si="6"/>
        <v>270.28373091506626</v>
      </c>
      <c r="Q13" s="266">
        <f t="shared" si="7"/>
        <v>11.189557796108005</v>
      </c>
      <c r="R13" s="268">
        <f t="shared" si="8"/>
        <v>1570.5420180963729</v>
      </c>
      <c r="S13" s="42">
        <f t="shared" si="9"/>
        <v>5586.4444192804604</v>
      </c>
      <c r="T13" s="42">
        <f t="shared" si="10"/>
        <v>35187.657142857141</v>
      </c>
      <c r="U13" s="32">
        <f t="shared" si="11"/>
        <v>4.8436693038426819</v>
      </c>
      <c r="V13" s="33">
        <f t="shared" si="12"/>
        <v>10.666666666666666</v>
      </c>
      <c r="W13" s="33">
        <f t="shared" si="13"/>
        <v>26.666666666666668</v>
      </c>
      <c r="X13" s="32">
        <f t="shared" si="14"/>
        <v>9.3848517678842462</v>
      </c>
      <c r="Y13" s="266">
        <f t="shared" si="15"/>
        <v>8.2964000000000002</v>
      </c>
      <c r="Z13" s="266" t="e">
        <f>IF(Use_BOM_DF,M13/10,MIN(0.972+(0.342*LN(Weather_Site!J16))-(0.245*LN(Weather_Site!I16)),1))</f>
        <v>#NUM!</v>
      </c>
      <c r="AA13" s="265" t="e">
        <f t="shared" si="16"/>
        <v>#NUM!</v>
      </c>
      <c r="AB13" s="265" t="e">
        <f t="shared" si="17"/>
        <v>#NUM!</v>
      </c>
      <c r="AC13" s="265" t="e">
        <f t="shared" si="18"/>
        <v>#NUM!</v>
      </c>
      <c r="AD13" s="266" t="e">
        <f t="shared" si="19"/>
        <v>#NUM!</v>
      </c>
      <c r="AE13" s="32" t="e">
        <f t="shared" si="20"/>
        <v>#NUM!</v>
      </c>
      <c r="AF13" s="42" t="e">
        <f t="shared" si="21"/>
        <v>#NUM!</v>
      </c>
      <c r="AG13" s="83">
        <f t="shared" si="22"/>
        <v>21.114397838481402</v>
      </c>
    </row>
    <row r="14" spans="1:33" x14ac:dyDescent="0.25">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J25" si="24">J$4</f>
        <v>3</v>
      </c>
      <c r="K14" s="27">
        <f t="shared" si="2"/>
        <v>9</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17.868097771207069</v>
      </c>
      <c r="O14" s="33">
        <f t="shared" si="5"/>
        <v>514.60121581076362</v>
      </c>
      <c r="P14" s="33">
        <f t="shared" si="6"/>
        <v>273.57950176099183</v>
      </c>
      <c r="Q14" s="266">
        <f t="shared" si="7"/>
        <v>10.449815805539927</v>
      </c>
      <c r="R14" s="42">
        <f t="shared" si="8"/>
        <v>1378.3229070087596</v>
      </c>
      <c r="S14" s="42">
        <f t="shared" si="9"/>
        <v>5030.2164945066197</v>
      </c>
      <c r="T14" s="42">
        <f t="shared" si="10"/>
        <v>35187.657142857141</v>
      </c>
      <c r="U14" s="32">
        <f t="shared" si="11"/>
        <v>4.9104802721707843</v>
      </c>
      <c r="V14" s="33">
        <f t="shared" si="12"/>
        <v>9</v>
      </c>
      <c r="W14" s="33">
        <f t="shared" si="13"/>
        <v>22.5</v>
      </c>
      <c r="X14" s="32">
        <f t="shared" si="14"/>
        <v>9.4992882555899953</v>
      </c>
      <c r="Y14" s="266">
        <f t="shared" si="15"/>
        <v>7.8436000000000012</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18.250397379164699</v>
      </c>
    </row>
    <row r="15" spans="1:33" x14ac:dyDescent="0.25">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si="24"/>
        <v>3</v>
      </c>
      <c r="K15" s="48">
        <f t="shared" si="2"/>
        <v>14</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23.104487791241652</v>
      </c>
      <c r="O15" s="52">
        <f t="shared" si="5"/>
        <v>665.40924838775948</v>
      </c>
      <c r="P15" s="52">
        <f t="shared" si="6"/>
        <v>249.03719491494567</v>
      </c>
      <c r="Q15" s="51">
        <f t="shared" si="7"/>
        <v>12.410320229040874</v>
      </c>
      <c r="R15" s="53">
        <f t="shared" si="8"/>
        <v>1887.752441053852</v>
      </c>
      <c r="S15" s="53">
        <f t="shared" si="9"/>
        <v>6504.3619680607635</v>
      </c>
      <c r="T15" s="53">
        <f t="shared" si="10"/>
        <v>35187.657142857141</v>
      </c>
      <c r="U15" s="51">
        <f t="shared" si="11"/>
        <v>5.18488744807998</v>
      </c>
      <c r="V15" s="52">
        <f t="shared" si="12"/>
        <v>14</v>
      </c>
      <c r="W15" s="52">
        <f t="shared" si="13"/>
        <v>35</v>
      </c>
      <c r="X15" s="51">
        <f t="shared" si="14"/>
        <v>8.6471248234356146</v>
      </c>
      <c r="Y15" s="51">
        <f t="shared" si="15"/>
        <v>7.9420000000000011</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23.126900217317136</v>
      </c>
    </row>
    <row r="16" spans="1:33" x14ac:dyDescent="0.25">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4"/>
        <v>3</v>
      </c>
      <c r="K16" s="48">
        <f t="shared" si="2"/>
        <v>14.333333333333334</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21.323012217901439</v>
      </c>
      <c r="O16" s="52">
        <f t="shared" si="5"/>
        <v>614.10275187556135</v>
      </c>
      <c r="P16" s="52">
        <f t="shared" si="6"/>
        <v>224.51943250475267</v>
      </c>
      <c r="Q16" s="51">
        <f t="shared" si="7"/>
        <v>11.743335774382299</v>
      </c>
      <c r="R16" s="53">
        <f t="shared" si="8"/>
        <v>1714.4390958356466</v>
      </c>
      <c r="S16" s="53">
        <f t="shared" si="9"/>
        <v>6002.8420005566222</v>
      </c>
      <c r="T16" s="53">
        <f t="shared" si="10"/>
        <v>35187.657142857141</v>
      </c>
      <c r="U16" s="51">
        <f t="shared" si="11"/>
        <v>5.4585360288975133</v>
      </c>
      <c r="V16" s="52">
        <f t="shared" si="12"/>
        <v>14.333333333333334</v>
      </c>
      <c r="W16" s="52">
        <f t="shared" si="13"/>
        <v>35.833333333333336</v>
      </c>
      <c r="X16" s="51">
        <f t="shared" si="14"/>
        <v>7.795813628637247</v>
      </c>
      <c r="Y16" s="51">
        <f t="shared" si="15"/>
        <v>8.2440000000000015</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21.250665579799524</v>
      </c>
    </row>
    <row r="17" spans="1:33" x14ac:dyDescent="0.25">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4"/>
        <v>3</v>
      </c>
      <c r="K17" s="48">
        <f t="shared" si="2"/>
        <v>15</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19.531662668401115</v>
      </c>
      <c r="O17" s="52">
        <f t="shared" si="5"/>
        <v>562.51188484995191</v>
      </c>
      <c r="P17" s="52">
        <f t="shared" si="6"/>
        <v>196.25449531767572</v>
      </c>
      <c r="Q17" s="51">
        <f t="shared" si="7"/>
        <v>11.072654503049375</v>
      </c>
      <c r="R17" s="53">
        <f t="shared" si="8"/>
        <v>1540.1651470231377</v>
      </c>
      <c r="S17" s="53">
        <f t="shared" si="9"/>
        <v>5498.5423170254635</v>
      </c>
      <c r="T17" s="53">
        <f t="shared" si="10"/>
        <v>35187.657142857141</v>
      </c>
      <c r="U17" s="51">
        <f t="shared" si="11"/>
        <v>5.8266549758774397</v>
      </c>
      <c r="V17" s="52">
        <f t="shared" si="12"/>
        <v>15</v>
      </c>
      <c r="W17" s="52">
        <f t="shared" si="13"/>
        <v>37.5</v>
      </c>
      <c r="X17" s="51">
        <f t="shared" si="14"/>
        <v>6.814392198530407</v>
      </c>
      <c r="Y17" s="51">
        <f t="shared" si="15"/>
        <v>7.0229999999999997</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19.416769029944028</v>
      </c>
    </row>
    <row r="18" spans="1:33" x14ac:dyDescent="0.25">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4"/>
        <v>3</v>
      </c>
      <c r="K18" s="48">
        <f t="shared" si="2"/>
        <v>13.333333333333334</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17.861309183967268</v>
      </c>
      <c r="O18" s="52">
        <f t="shared" si="5"/>
        <v>514.40570449825725</v>
      </c>
      <c r="P18" s="52">
        <f t="shared" si="6"/>
        <v>201.74656126661873</v>
      </c>
      <c r="Q18" s="51">
        <f t="shared" si="7"/>
        <v>10.447274158477343</v>
      </c>
      <c r="R18" s="53">
        <f t="shared" si="8"/>
        <v>1377.6624697951129</v>
      </c>
      <c r="S18" s="53">
        <f t="shared" si="9"/>
        <v>5028.305375374337</v>
      </c>
      <c r="T18" s="53">
        <f t="shared" si="10"/>
        <v>35187.657142857141</v>
      </c>
      <c r="U18" s="51">
        <f t="shared" si="11"/>
        <v>5.7491723558084828</v>
      </c>
      <c r="V18" s="52">
        <f t="shared" si="12"/>
        <v>13.333333333333334</v>
      </c>
      <c r="W18" s="52">
        <f t="shared" si="13"/>
        <v>33.333333333333336</v>
      </c>
      <c r="X18" s="51">
        <f t="shared" si="14"/>
        <v>7.0050889328687056</v>
      </c>
      <c r="Y18" s="51">
        <f t="shared" si="15"/>
        <v>6.9165999999999999</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17.765353539440198</v>
      </c>
    </row>
    <row r="19" spans="1:33" x14ac:dyDescent="0.25">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4"/>
        <v>3</v>
      </c>
      <c r="K19" s="48">
        <f t="shared" si="2"/>
        <v>14</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21.535373782567806</v>
      </c>
      <c r="O19" s="52">
        <f t="shared" si="5"/>
        <v>620.21876493795264</v>
      </c>
      <c r="P19" s="52">
        <f t="shared" si="6"/>
        <v>232.12412786266461</v>
      </c>
      <c r="Q19" s="51">
        <f t="shared" si="7"/>
        <v>11.822843944193384</v>
      </c>
      <c r="R19" s="53">
        <f t="shared" si="8"/>
        <v>1735.0989879604044</v>
      </c>
      <c r="S19" s="53">
        <f t="shared" si="9"/>
        <v>6062.6259047562817</v>
      </c>
      <c r="T19" s="53">
        <f t="shared" si="10"/>
        <v>35187.657142857141</v>
      </c>
      <c r="U19" s="51">
        <f t="shared" si="11"/>
        <v>5.4124818854769448</v>
      </c>
      <c r="V19" s="52">
        <f t="shared" si="12"/>
        <v>14</v>
      </c>
      <c r="W19" s="52">
        <f t="shared" si="13"/>
        <v>35</v>
      </c>
      <c r="X19" s="51">
        <f t="shared" si="14"/>
        <v>8.0598655507869665</v>
      </c>
      <c r="Y19" s="51">
        <f t="shared" si="15"/>
        <v>6.3083999999999998</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21.131847563815047</v>
      </c>
    </row>
    <row r="20" spans="1:33" x14ac:dyDescent="0.25">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4"/>
        <v>3</v>
      </c>
      <c r="K20" s="27">
        <f t="shared" si="2"/>
        <v>12.333333333333334</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23.721620159937064</v>
      </c>
      <c r="O20" s="33">
        <f t="shared" si="5"/>
        <v>683.18266060618737</v>
      </c>
      <c r="P20" s="33">
        <f t="shared" si="6"/>
        <v>287.42508790541507</v>
      </c>
      <c r="Q20" s="32">
        <f t="shared" si="7"/>
        <v>12.641374587880437</v>
      </c>
      <c r="R20" s="42">
        <f t="shared" si="8"/>
        <v>1947.7910275277011</v>
      </c>
      <c r="S20" s="42">
        <f t="shared" si="9"/>
        <v>6678.0967136422396</v>
      </c>
      <c r="T20" s="42">
        <f t="shared" si="10"/>
        <v>35187.657142857141</v>
      </c>
      <c r="U20" s="32">
        <f t="shared" si="11"/>
        <v>4.9053623703167082</v>
      </c>
      <c r="V20" s="33">
        <f t="shared" si="12"/>
        <v>12.333333333333334</v>
      </c>
      <c r="W20" s="33">
        <f t="shared" si="13"/>
        <v>30.833333333333336</v>
      </c>
      <c r="X20" s="32">
        <f t="shared" si="14"/>
        <v>9.9800377744935798</v>
      </c>
      <c r="Y20" s="32">
        <f t="shared" si="15"/>
        <v>5.4726999999999997</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23.112571738746031</v>
      </c>
    </row>
    <row r="21" spans="1:33" x14ac:dyDescent="0.25">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4"/>
        <v>3</v>
      </c>
      <c r="K21" s="27">
        <f t="shared" si="2"/>
        <v>12.333333333333334</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29.251383606212084</v>
      </c>
      <c r="O21" s="33">
        <f t="shared" si="5"/>
        <v>842.43984785890802</v>
      </c>
      <c r="P21" s="33">
        <f t="shared" si="6"/>
        <v>354.42695092849976</v>
      </c>
      <c r="Q21" s="32">
        <f t="shared" si="7"/>
        <v>14.711718022165805</v>
      </c>
      <c r="R21" s="42">
        <f t="shared" si="8"/>
        <v>2485.7618060673917</v>
      </c>
      <c r="S21" s="42">
        <f t="shared" si="9"/>
        <v>8234.832503559137</v>
      </c>
      <c r="T21" s="42">
        <f t="shared" si="10"/>
        <v>35187.657142857141</v>
      </c>
      <c r="U21" s="32">
        <f t="shared" si="11"/>
        <v>4.4923103973797289</v>
      </c>
      <c r="V21" s="33">
        <f t="shared" si="12"/>
        <v>12.333333333333334</v>
      </c>
      <c r="W21" s="33">
        <f t="shared" si="13"/>
        <v>30.833333333333336</v>
      </c>
      <c r="X21" s="32">
        <f t="shared" si="14"/>
        <v>12.30649135168402</v>
      </c>
      <c r="Y21" s="32">
        <f t="shared" si="15"/>
        <v>4.6133000000000006</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27.801682792036758</v>
      </c>
    </row>
    <row r="22" spans="1:33" x14ac:dyDescent="0.25">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4"/>
        <v>3</v>
      </c>
      <c r="K22" s="27">
        <f t="shared" si="2"/>
        <v>11.333333333333334</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29.72673696450147</v>
      </c>
      <c r="O22" s="33">
        <f t="shared" si="5"/>
        <v>856.13002457764219</v>
      </c>
      <c r="P22" s="33">
        <f t="shared" si="6"/>
        <v>386.38035597711871</v>
      </c>
      <c r="Q22" s="32">
        <f t="shared" si="7"/>
        <v>14.889690319509349</v>
      </c>
      <c r="R22" s="42">
        <f t="shared" si="8"/>
        <v>2532.0072230232754</v>
      </c>
      <c r="S22" s="42">
        <f t="shared" si="9"/>
        <v>8368.6537045735768</v>
      </c>
      <c r="T22" s="42">
        <f t="shared" si="10"/>
        <v>35187.657142857141</v>
      </c>
      <c r="U22" s="32">
        <f t="shared" si="11"/>
        <v>4.3165265462780829</v>
      </c>
      <c r="V22" s="33">
        <f t="shared" si="12"/>
        <v>11.333333333333334</v>
      </c>
      <c r="W22" s="33">
        <f t="shared" si="13"/>
        <v>28.333333333333336</v>
      </c>
      <c r="X22" s="32">
        <f t="shared" si="14"/>
        <v>13.415984582538847</v>
      </c>
      <c r="Y22" s="32">
        <f t="shared" si="15"/>
        <v>4.2845000000000013</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28.183039260547897</v>
      </c>
    </row>
    <row r="23" spans="1:33" x14ac:dyDescent="0.25">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4"/>
        <v>3</v>
      </c>
      <c r="K23" s="27">
        <f t="shared" si="2"/>
        <v>12.333333333333334</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31.689229994097666</v>
      </c>
      <c r="O23" s="33">
        <f t="shared" si="5"/>
        <v>912.64982383001268</v>
      </c>
      <c r="P23" s="33">
        <f t="shared" si="6"/>
        <v>383.96533016287037</v>
      </c>
      <c r="Q23" s="32">
        <f t="shared" si="7"/>
        <v>15.624447709790164</v>
      </c>
      <c r="R23" s="42">
        <f t="shared" si="8"/>
        <v>2722.9311048977829</v>
      </c>
      <c r="S23" s="42">
        <f t="shared" si="9"/>
        <v>8921.1336011038366</v>
      </c>
      <c r="T23" s="42">
        <f t="shared" si="10"/>
        <v>35187.657142857141</v>
      </c>
      <c r="U23" s="32">
        <f t="shared" si="11"/>
        <v>4.2973046875931535</v>
      </c>
      <c r="V23" s="33">
        <f t="shared" si="12"/>
        <v>12.333333333333334</v>
      </c>
      <c r="W23" s="33">
        <f t="shared" si="13"/>
        <v>30.833333333333336</v>
      </c>
      <c r="X23" s="32">
        <f t="shared" si="14"/>
        <v>13.332129519544113</v>
      </c>
      <c r="Y23" s="32">
        <f t="shared" si="15"/>
        <v>4.3444000000000003</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30.517268809769369</v>
      </c>
    </row>
    <row r="24" spans="1:33" x14ac:dyDescent="0.25">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4"/>
        <v>3</v>
      </c>
      <c r="K24" s="27">
        <f t="shared" si="2"/>
        <v>12.333333333333334</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30.326953614754807</v>
      </c>
      <c r="O24" s="33">
        <f t="shared" si="5"/>
        <v>873.41626410493836</v>
      </c>
      <c r="P24" s="33">
        <f t="shared" si="6"/>
        <v>367.45918912173789</v>
      </c>
      <c r="Q24" s="32">
        <f t="shared" si="7"/>
        <v>15.114411433364197</v>
      </c>
      <c r="R24" s="42">
        <f t="shared" si="8"/>
        <v>2590.4001401464816</v>
      </c>
      <c r="S24" s="42">
        <f t="shared" si="9"/>
        <v>8537.626346935489</v>
      </c>
      <c r="T24" s="42">
        <f t="shared" si="10"/>
        <v>35187.657142857141</v>
      </c>
      <c r="U24" s="32">
        <f t="shared" si="11"/>
        <v>4.337890213221371</v>
      </c>
      <c r="V24" s="33">
        <f t="shared" si="12"/>
        <v>12.333333333333334</v>
      </c>
      <c r="W24" s="33">
        <f t="shared" si="13"/>
        <v>30.833333333333336</v>
      </c>
      <c r="X24" s="32">
        <f t="shared" si="14"/>
        <v>12.758999622282568</v>
      </c>
      <c r="Y24" s="32">
        <f t="shared" si="15"/>
        <v>4.5654000000000003</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29.920758843833671</v>
      </c>
    </row>
    <row r="25" spans="1:33" x14ac:dyDescent="0.25">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4"/>
        <v>3</v>
      </c>
      <c r="K25" s="48">
        <f t="shared" si="2"/>
        <v>11</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21.962070018483388</v>
      </c>
      <c r="O25" s="52">
        <f t="shared" si="5"/>
        <v>632.50761653232155</v>
      </c>
      <c r="P25" s="52">
        <f t="shared" si="6"/>
        <v>292.2157100179233</v>
      </c>
      <c r="Q25" s="51">
        <f t="shared" si="7"/>
        <v>11.982599014920181</v>
      </c>
      <c r="R25" s="53">
        <f t="shared" si="8"/>
        <v>1776.6107286461822</v>
      </c>
      <c r="S25" s="53">
        <f t="shared" si="9"/>
        <v>6182.749180973472</v>
      </c>
      <c r="T25" s="53">
        <f t="shared" si="10"/>
        <v>35187.657142857141</v>
      </c>
      <c r="U25" s="51">
        <f t="shared" si="11"/>
        <v>4.7319690207042324</v>
      </c>
      <c r="V25" s="52">
        <f t="shared" si="12"/>
        <v>11</v>
      </c>
      <c r="W25" s="52">
        <f t="shared" si="13"/>
        <v>27.5</v>
      </c>
      <c r="X25" s="51">
        <f t="shared" si="14"/>
        <v>10.146378820066783</v>
      </c>
      <c r="Y25" s="51">
        <f t="shared" si="15"/>
        <v>5.5638000000000005</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22.69967472006768</v>
      </c>
    </row>
    <row r="26" spans="1:33" x14ac:dyDescent="0.25">
      <c r="A26" s="45" t="str">
        <f>Weather_Site!A29</f>
        <v>Sun</v>
      </c>
      <c r="B26" s="46">
        <f>Weather_Site!B29</f>
        <v>44549</v>
      </c>
      <c r="C26" s="47">
        <f>Weather_Site!C29</f>
        <v>0.875</v>
      </c>
      <c r="D26" s="48">
        <f>Weather_Site!D29</f>
        <v>24.6</v>
      </c>
      <c r="E26" s="48">
        <f>Weather_Site!E29</f>
        <v>25.8</v>
      </c>
      <c r="F26" s="49">
        <f>Weather_Site!F29</f>
        <v>210</v>
      </c>
      <c r="G26" s="48">
        <f>Weather_Site!G29</f>
        <v>34</v>
      </c>
      <c r="H26" s="48">
        <f>IF(Weather_Site!M29&lt;180,Weather_Site!M29+180,Weather_Site!M29-180)</f>
        <v>30</v>
      </c>
      <c r="I26" s="172">
        <f t="shared" ref="I26:I57" si="27">C$5</f>
        <v>0</v>
      </c>
      <c r="J26" s="214">
        <f t="shared" ref="J26:J57" si="28">J$4</f>
        <v>3</v>
      </c>
      <c r="K26" s="48">
        <f t="shared" si="2"/>
        <v>11.333333333333334</v>
      </c>
      <c r="L26" s="172">
        <f t="shared" ref="L26:L57" si="29">C$4</f>
        <v>24</v>
      </c>
      <c r="M26" s="51">
        <f>IF(Use_BOM_DF,Weather_Site!H29,IF(0.191*(Weather_Site!K29+104)*(Weather_Site!J29+1)^1.5/(3.52*(Weather_Site!J29+1)^1.5+Weather_Site!I29-1)&gt;10, 10,0.191*(Weather_Site!K29+104)*(Weather_Site!J29+1)^1.5/(3.52*(Weather_Site!J29+1)^1.5+Weather_Site!I29-1)))</f>
        <v>7.882539682539683</v>
      </c>
      <c r="N26" s="51">
        <f t="shared" si="4"/>
        <v>20.449059175359459</v>
      </c>
      <c r="O26" s="52">
        <f t="shared" si="5"/>
        <v>588.93290425035241</v>
      </c>
      <c r="P26" s="52">
        <f t="shared" si="6"/>
        <v>265.79152542062599</v>
      </c>
      <c r="Q26" s="51">
        <f t="shared" si="7"/>
        <v>11.416127755254582</v>
      </c>
      <c r="R26" s="53">
        <f t="shared" si="8"/>
        <v>1629.4153505576903</v>
      </c>
      <c r="S26" s="53">
        <f t="shared" si="9"/>
        <v>5756.8072482114148</v>
      </c>
      <c r="T26" s="53">
        <f t="shared" si="10"/>
        <v>35187.657142857141</v>
      </c>
      <c r="U26" s="51">
        <f t="shared" si="11"/>
        <v>4.8552665331520863</v>
      </c>
      <c r="V26" s="52">
        <f t="shared" si="12"/>
        <v>11.333333333333334</v>
      </c>
      <c r="W26" s="52">
        <f t="shared" si="13"/>
        <v>28.333333333333336</v>
      </c>
      <c r="X26" s="51">
        <f t="shared" si="14"/>
        <v>9.2288724104384041</v>
      </c>
      <c r="Y26" s="51">
        <f t="shared" si="15"/>
        <v>6.0324000000000009</v>
      </c>
      <c r="Z26" s="51" t="e">
        <f>IF(Use_BOM_DF,M26/10,MIN(0.972+(0.342*LN(Weather_Site!J29))-(0.245*LN(Weather_Site!I29)),1))</f>
        <v>#NUM!</v>
      </c>
      <c r="AA26" s="52" t="e">
        <f t="shared" si="16"/>
        <v>#NUM!</v>
      </c>
      <c r="AB26" s="52" t="e">
        <f t="shared" si="17"/>
        <v>#NUM!</v>
      </c>
      <c r="AC26" s="52" t="e">
        <f t="shared" si="18"/>
        <v>#NUM!</v>
      </c>
      <c r="AD26" s="51" t="e">
        <f t="shared" si="19"/>
        <v>#NUM!</v>
      </c>
      <c r="AE26" s="51" t="e">
        <f t="shared" si="20"/>
        <v>#NUM!</v>
      </c>
      <c r="AF26" s="53" t="e">
        <f t="shared" si="21"/>
        <v>#NUM!</v>
      </c>
      <c r="AG26" s="323">
        <f t="shared" si="22"/>
        <v>22.015200260458144</v>
      </c>
    </row>
    <row r="27" spans="1:33" x14ac:dyDescent="0.25">
      <c r="A27" s="45" t="str">
        <f>Weather_Site!A30</f>
        <v>Sun</v>
      </c>
      <c r="B27" s="46">
        <f>Weather_Site!B30</f>
        <v>44549</v>
      </c>
      <c r="C27" s="47">
        <f>Weather_Site!C30</f>
        <v>0.91666666666666663</v>
      </c>
      <c r="D27" s="48">
        <f>Weather_Site!D30</f>
        <v>21.9</v>
      </c>
      <c r="E27" s="48">
        <f>Weather_Site!E30</f>
        <v>28.9</v>
      </c>
      <c r="F27" s="49">
        <f>Weather_Site!F30</f>
        <v>210</v>
      </c>
      <c r="G27" s="48">
        <f>Weather_Site!G30</f>
        <v>33</v>
      </c>
      <c r="H27" s="48">
        <f>IF(Weather_Site!M30&lt;180,Weather_Site!M30+180,Weather_Site!M30-180)</f>
        <v>30</v>
      </c>
      <c r="I27" s="172">
        <f t="shared" si="27"/>
        <v>0</v>
      </c>
      <c r="J27" s="214">
        <f t="shared" si="28"/>
        <v>3</v>
      </c>
      <c r="K27" s="48">
        <f t="shared" si="2"/>
        <v>11</v>
      </c>
      <c r="L27" s="172">
        <f t="shared" si="29"/>
        <v>24</v>
      </c>
      <c r="M27" s="51">
        <f>IF(Use_BOM_DF,Weather_Site!H30,IF(0.191*(Weather_Site!K30+104)*(Weather_Site!J30+1)^1.5/(3.52*(Weather_Site!J30+1)^1.5+Weather_Site!I30-1)&gt;10, 10,0.191*(Weather_Site!K30+104)*(Weather_Site!J30+1)^1.5/(3.52*(Weather_Site!J30+1)^1.5+Weather_Site!I30-1)))</f>
        <v>7.882539682539683</v>
      </c>
      <c r="N27" s="51">
        <f t="shared" si="4"/>
        <v>16.384354332055356</v>
      </c>
      <c r="O27" s="52">
        <f t="shared" si="5"/>
        <v>471.86940476319415</v>
      </c>
      <c r="P27" s="52">
        <f t="shared" si="6"/>
        <v>218.001569537725</v>
      </c>
      <c r="Q27" s="51">
        <f t="shared" si="7"/>
        <v>9.8943022619215242</v>
      </c>
      <c r="R27" s="53">
        <f t="shared" si="8"/>
        <v>1233.9748492900701</v>
      </c>
      <c r="S27" s="53">
        <f t="shared" si="9"/>
        <v>4612.5139042922419</v>
      </c>
      <c r="T27" s="53">
        <f t="shared" si="10"/>
        <v>35187.657142857141</v>
      </c>
      <c r="U27" s="51">
        <f t="shared" si="11"/>
        <v>5.2722020639675566</v>
      </c>
      <c r="V27" s="52">
        <f t="shared" si="12"/>
        <v>11</v>
      </c>
      <c r="W27" s="52">
        <f t="shared" si="13"/>
        <v>27.5</v>
      </c>
      <c r="X27" s="51">
        <f t="shared" si="14"/>
        <v>7.5694989422821193</v>
      </c>
      <c r="Y27" s="51">
        <f t="shared" si="15"/>
        <v>6.9037000000000006</v>
      </c>
      <c r="Z27" s="51" t="e">
        <f>IF(Use_BOM_DF,M27/10,MIN(0.972+(0.342*LN(Weather_Site!J30))-(0.245*LN(Weather_Site!I30)),1))</f>
        <v>#NUM!</v>
      </c>
      <c r="AA27" s="52" t="e">
        <f t="shared" si="16"/>
        <v>#NUM!</v>
      </c>
      <c r="AB27" s="52" t="e">
        <f t="shared" si="17"/>
        <v>#NUM!</v>
      </c>
      <c r="AC27" s="52" t="e">
        <f t="shared" si="18"/>
        <v>#NUM!</v>
      </c>
      <c r="AD27" s="51" t="e">
        <f t="shared" si="19"/>
        <v>#NUM!</v>
      </c>
      <c r="AE27" s="51" t="e">
        <f t="shared" si="20"/>
        <v>#NUM!</v>
      </c>
      <c r="AF27" s="53" t="e">
        <f t="shared" si="21"/>
        <v>#NUM!</v>
      </c>
      <c r="AG27" s="323">
        <f t="shared" si="22"/>
        <v>18.089406172483404</v>
      </c>
    </row>
    <row r="28" spans="1:33" x14ac:dyDescent="0.25">
      <c r="A28" s="45" t="str">
        <f>Weather_Site!A31</f>
        <v>Sun</v>
      </c>
      <c r="B28" s="46">
        <f>Weather_Site!B31</f>
        <v>44549</v>
      </c>
      <c r="C28" s="47">
        <f>Weather_Site!C31</f>
        <v>0.95833333333333337</v>
      </c>
      <c r="D28" s="48">
        <f>Weather_Site!D31</f>
        <v>19.7</v>
      </c>
      <c r="E28" s="48">
        <f>Weather_Site!E31</f>
        <v>31.5</v>
      </c>
      <c r="F28" s="49">
        <f>Weather_Site!F31</f>
        <v>205</v>
      </c>
      <c r="G28" s="48">
        <f>Weather_Site!G31</f>
        <v>29</v>
      </c>
      <c r="H28" s="48">
        <f>IF(Weather_Site!M31&lt;180,Weather_Site!M31+180,Weather_Site!M31-180)</f>
        <v>25</v>
      </c>
      <c r="I28" s="172">
        <f t="shared" si="27"/>
        <v>0</v>
      </c>
      <c r="J28" s="214">
        <f t="shared" si="28"/>
        <v>3</v>
      </c>
      <c r="K28" s="48">
        <f t="shared" si="2"/>
        <v>9.6666666666666661</v>
      </c>
      <c r="L28" s="172">
        <f t="shared" si="29"/>
        <v>24</v>
      </c>
      <c r="M28" s="51">
        <f>IF(Use_BOM_DF,Weather_Site!H31,IF(0.191*(Weather_Site!K31+104)*(Weather_Site!J31+1)^1.5/(3.52*(Weather_Site!J31+1)^1.5+Weather_Site!I31-1)&gt;10, 10,0.191*(Weather_Site!K31+104)*(Weather_Site!J31+1)^1.5/(3.52*(Weather_Site!J31+1)^1.5+Weather_Site!I31-1)))</f>
        <v>7.882539682539683</v>
      </c>
      <c r="N28" s="51">
        <f t="shared" si="4"/>
        <v>12.662778651012133</v>
      </c>
      <c r="O28" s="52">
        <f t="shared" si="5"/>
        <v>364.68802514914938</v>
      </c>
      <c r="P28" s="52">
        <f t="shared" si="6"/>
        <v>185.01599160997517</v>
      </c>
      <c r="Q28" s="51">
        <f t="shared" si="7"/>
        <v>8.5009443269389422</v>
      </c>
      <c r="R28" s="53">
        <f t="shared" si="8"/>
        <v>871.91614895382668</v>
      </c>
      <c r="S28" s="53">
        <f t="shared" si="9"/>
        <v>3564.818082608047</v>
      </c>
      <c r="T28" s="53">
        <f t="shared" si="10"/>
        <v>35187.657142857141</v>
      </c>
      <c r="U28" s="51">
        <f t="shared" si="11"/>
        <v>5.6697882798549992</v>
      </c>
      <c r="V28" s="52">
        <f t="shared" si="12"/>
        <v>9.6666666666666661</v>
      </c>
      <c r="W28" s="52">
        <f t="shared" si="13"/>
        <v>24.166666666666668</v>
      </c>
      <c r="X28" s="51">
        <f t="shared" si="14"/>
        <v>6.4241663753463607</v>
      </c>
      <c r="Y28" s="51">
        <f t="shared" si="15"/>
        <v>7.6235000000000008</v>
      </c>
      <c r="Z28" s="51" t="e">
        <f>IF(Use_BOM_DF,M28/10,MIN(0.972+(0.342*LN(Weather_Site!J31))-(0.245*LN(Weather_Site!I31)),1))</f>
        <v>#NUM!</v>
      </c>
      <c r="AA28" s="52" t="e">
        <f t="shared" si="16"/>
        <v>#NUM!</v>
      </c>
      <c r="AB28" s="52" t="e">
        <f t="shared" si="17"/>
        <v>#NUM!</v>
      </c>
      <c r="AC28" s="52" t="e">
        <f t="shared" si="18"/>
        <v>#NUM!</v>
      </c>
      <c r="AD28" s="51" t="e">
        <f t="shared" si="19"/>
        <v>#NUM!</v>
      </c>
      <c r="AE28" s="51" t="e">
        <f t="shared" si="20"/>
        <v>#NUM!</v>
      </c>
      <c r="AF28" s="53" t="e">
        <f t="shared" si="21"/>
        <v>#NUM!</v>
      </c>
      <c r="AG28" s="323">
        <f t="shared" si="22"/>
        <v>14.140581760891225</v>
      </c>
    </row>
    <row r="29" spans="1:33" x14ac:dyDescent="0.25">
      <c r="A29" s="45" t="str">
        <f>Weather_Site!A32</f>
        <v>Mon</v>
      </c>
      <c r="B29" s="46">
        <f>Weather_Site!B32</f>
        <v>44550</v>
      </c>
      <c r="C29" s="47">
        <f>Weather_Site!C32</f>
        <v>0</v>
      </c>
      <c r="D29" s="48">
        <f>Weather_Site!D32</f>
        <v>18.899999999999999</v>
      </c>
      <c r="E29" s="48">
        <f>Weather_Site!E32</f>
        <v>32.4</v>
      </c>
      <c r="F29" s="49">
        <f>Weather_Site!F32</f>
        <v>203</v>
      </c>
      <c r="G29" s="48">
        <f>Weather_Site!G32</f>
        <v>24</v>
      </c>
      <c r="H29" s="48">
        <f>IF(Weather_Site!M32&lt;180,Weather_Site!M32+180,Weather_Site!M32-180)</f>
        <v>23</v>
      </c>
      <c r="I29" s="172">
        <f t="shared" si="27"/>
        <v>0</v>
      </c>
      <c r="J29" s="214">
        <f t="shared" si="28"/>
        <v>3</v>
      </c>
      <c r="K29" s="48">
        <f t="shared" si="2"/>
        <v>8</v>
      </c>
      <c r="L29" s="172">
        <f t="shared" si="29"/>
        <v>24</v>
      </c>
      <c r="M29" s="51">
        <f>IF(Use_BOM_DF,Weather_Site!H32,IF(0.191*(Weather_Site!K32+104)*(Weather_Site!J32+1)^1.5/(3.52*(Weather_Site!J32+1)^1.5+Weather_Site!I32-1)&gt;10, 10,0.191*(Weather_Site!K32+104)*(Weather_Site!J32+1)^1.5/(3.52*(Weather_Site!J32+1)^1.5+Weather_Site!I32-1)))</f>
        <v>7.882539682539683</v>
      </c>
      <c r="N29" s="51">
        <f t="shared" si="4"/>
        <v>10.62890179682851</v>
      </c>
      <c r="O29" s="52">
        <f t="shared" si="5"/>
        <v>306.11237174866102</v>
      </c>
      <c r="P29" s="52">
        <f t="shared" si="6"/>
        <v>174.57461833502165</v>
      </c>
      <c r="Q29" s="51">
        <f t="shared" si="7"/>
        <v>7.7394608327325933</v>
      </c>
      <c r="R29" s="53">
        <f t="shared" si="8"/>
        <v>674.04759176697689</v>
      </c>
      <c r="S29" s="53">
        <f t="shared" si="9"/>
        <v>2992.2422532886085</v>
      </c>
      <c r="T29" s="53">
        <f t="shared" si="10"/>
        <v>35187.657142857141</v>
      </c>
      <c r="U29" s="51">
        <f t="shared" si="11"/>
        <v>5.8218369769991574</v>
      </c>
      <c r="V29" s="52">
        <f t="shared" si="12"/>
        <v>8</v>
      </c>
      <c r="W29" s="52">
        <f t="shared" si="13"/>
        <v>20</v>
      </c>
      <c r="X29" s="51">
        <f t="shared" si="14"/>
        <v>6.0616186921882527</v>
      </c>
      <c r="Y29" s="51">
        <f t="shared" si="15"/>
        <v>10.818000000000001</v>
      </c>
      <c r="Z29" s="51" t="e">
        <f>IF(Use_BOM_DF,M29/10,MIN(0.972+(0.342*LN(Weather_Site!J32))-(0.245*LN(Weather_Site!I32)),1))</f>
        <v>#NUM!</v>
      </c>
      <c r="AA29" s="52" t="e">
        <f t="shared" si="16"/>
        <v>#NUM!</v>
      </c>
      <c r="AB29" s="52" t="e">
        <f t="shared" si="17"/>
        <v>#NUM!</v>
      </c>
      <c r="AC29" s="52" t="e">
        <f t="shared" si="18"/>
        <v>#NUM!</v>
      </c>
      <c r="AD29" s="51" t="e">
        <f t="shared" si="19"/>
        <v>#NUM!</v>
      </c>
      <c r="AE29" s="51" t="e">
        <f t="shared" si="20"/>
        <v>#NUM!</v>
      </c>
      <c r="AF29" s="53" t="e">
        <f t="shared" si="21"/>
        <v>#NUM!</v>
      </c>
      <c r="AG29" s="323">
        <f t="shared" si="22"/>
        <v>11.899236776501999</v>
      </c>
    </row>
    <row r="30" spans="1:33" x14ac:dyDescent="0.25">
      <c r="A30" s="23" t="str">
        <f>Weather_Site!A33</f>
        <v>Mon</v>
      </c>
      <c r="B30" s="24">
        <f>Weather_Site!B33</f>
        <v>44550</v>
      </c>
      <c r="C30" s="25">
        <f>Weather_Site!C33</f>
        <v>4.1666666666666664E-2</v>
      </c>
      <c r="D30" s="27">
        <f>Weather_Site!D33</f>
        <v>17.7</v>
      </c>
      <c r="E30" s="27">
        <f>Weather_Site!E33</f>
        <v>34.9</v>
      </c>
      <c r="F30" s="28">
        <f>Weather_Site!F33</f>
        <v>200</v>
      </c>
      <c r="G30" s="27">
        <f>Weather_Site!G33</f>
        <v>24</v>
      </c>
      <c r="H30" s="27">
        <f>IF(Weather_Site!M33&lt;180,Weather_Site!M33+180,Weather_Site!M33-180)</f>
        <v>20</v>
      </c>
      <c r="I30" s="172">
        <f t="shared" si="27"/>
        <v>0</v>
      </c>
      <c r="J30" s="214">
        <f t="shared" si="28"/>
        <v>3</v>
      </c>
      <c r="K30" s="27">
        <f t="shared" si="2"/>
        <v>8</v>
      </c>
      <c r="L30" s="172">
        <f t="shared" si="29"/>
        <v>24</v>
      </c>
      <c r="M30" s="32">
        <f>IF(Use_BOM_DF,Weather_Site!H33,IF(0.191*(Weather_Site!K33+104)*(Weather_Site!J33+1)^1.5/(3.52*(Weather_Site!J33+1)^1.5+Weather_Site!I33-1)&gt;10, 10,0.191*(Weather_Site!K33+104)*(Weather_Site!J33+1)^1.5/(3.52*(Weather_Site!J33+1)^1.5+Weather_Site!I33-1)))</f>
        <v>7.882539682539683</v>
      </c>
      <c r="N30" s="32">
        <f t="shared" si="4"/>
        <v>9.3630105182021168</v>
      </c>
      <c r="O30" s="33">
        <f t="shared" si="5"/>
        <v>269.65470292422094</v>
      </c>
      <c r="P30" s="33">
        <f t="shared" si="6"/>
        <v>153.78296073538365</v>
      </c>
      <c r="Q30" s="32">
        <f t="shared" si="7"/>
        <v>7.2655111380148725</v>
      </c>
      <c r="R30" s="42">
        <f t="shared" si="8"/>
        <v>550.89358647801851</v>
      </c>
      <c r="S30" s="42">
        <f t="shared" si="9"/>
        <v>2635.8692766274007</v>
      </c>
      <c r="T30" s="42">
        <f t="shared" si="10"/>
        <v>35187.657142857141</v>
      </c>
      <c r="U30" s="32">
        <f t="shared" si="11"/>
        <v>6.2077593549462025</v>
      </c>
      <c r="V30" s="33">
        <f t="shared" si="12"/>
        <v>8</v>
      </c>
      <c r="W30" s="33">
        <f t="shared" si="13"/>
        <v>20</v>
      </c>
      <c r="X30" s="32">
        <f t="shared" si="14"/>
        <v>5.339686136645267</v>
      </c>
      <c r="Y30" s="32">
        <f t="shared" si="15"/>
        <v>11.436400000000001</v>
      </c>
      <c r="Z30" s="266" t="e">
        <f>IF(Use_BOM_DF,M30/10,MIN(0.972+(0.342*LN(Weather_Site!J33))-(0.245*LN(Weather_Site!I33)),1))</f>
        <v>#NUM!</v>
      </c>
      <c r="AA30" s="33" t="e">
        <f t="shared" si="16"/>
        <v>#NUM!</v>
      </c>
      <c r="AB30" s="33" t="e">
        <f t="shared" si="17"/>
        <v>#NUM!</v>
      </c>
      <c r="AC30" s="265" t="e">
        <f t="shared" si="18"/>
        <v>#NUM!</v>
      </c>
      <c r="AD30" s="32" t="e">
        <f t="shared" si="19"/>
        <v>#NUM!</v>
      </c>
      <c r="AE30" s="32" t="e">
        <f t="shared" si="20"/>
        <v>#NUM!</v>
      </c>
      <c r="AF30" s="42" t="e">
        <f t="shared" si="21"/>
        <v>#NUM!</v>
      </c>
      <c r="AG30" s="83">
        <f t="shared" si="22"/>
        <v>10.398769634379777</v>
      </c>
    </row>
    <row r="31" spans="1:33" x14ac:dyDescent="0.25">
      <c r="A31" s="23" t="str">
        <f>Weather_Site!A34</f>
        <v>Mon</v>
      </c>
      <c r="B31" s="24">
        <f>Weather_Site!B34</f>
        <v>44550</v>
      </c>
      <c r="C31" s="25">
        <f>Weather_Site!C34</f>
        <v>8.3333333333333329E-2</v>
      </c>
      <c r="D31" s="27">
        <f>Weather_Site!D34</f>
        <v>16.399999999999999</v>
      </c>
      <c r="E31" s="27">
        <f>Weather_Site!E34</f>
        <v>37.6</v>
      </c>
      <c r="F31" s="28">
        <f>Weather_Site!F34</f>
        <v>197</v>
      </c>
      <c r="G31" s="27">
        <f>Weather_Site!G34</f>
        <v>21</v>
      </c>
      <c r="H31" s="27">
        <f>IF(Weather_Site!M34&lt;180,Weather_Site!M34+180,Weather_Site!M34-180)</f>
        <v>17</v>
      </c>
      <c r="I31" s="172">
        <f t="shared" si="27"/>
        <v>0</v>
      </c>
      <c r="J31" s="214">
        <f t="shared" si="28"/>
        <v>3</v>
      </c>
      <c r="K31" s="27">
        <f t="shared" si="2"/>
        <v>7</v>
      </c>
      <c r="L31" s="172">
        <f t="shared" si="29"/>
        <v>24</v>
      </c>
      <c r="M31" s="32">
        <f>IF(Use_BOM_DF,Weather_Site!H34,IF(0.191*(Weather_Site!K34+104)*(Weather_Site!J34+1)^1.5/(3.52*(Weather_Site!J34+1)^1.5+Weather_Site!I34-1)&gt;10, 10,0.191*(Weather_Site!K34+104)*(Weather_Site!J34+1)^1.5/(3.52*(Weather_Site!J34+1)^1.5+Weather_Site!I34-1)))</f>
        <v>7.882539682539683</v>
      </c>
      <c r="N31" s="32">
        <f t="shared" si="4"/>
        <v>7.6101042840604318</v>
      </c>
      <c r="O31" s="33">
        <f t="shared" si="5"/>
        <v>219.17100338094042</v>
      </c>
      <c r="P31" s="33">
        <f t="shared" si="6"/>
        <v>134.0820951160886</v>
      </c>
      <c r="Q31" s="32">
        <f t="shared" si="7"/>
        <v>6.609223043952225</v>
      </c>
      <c r="R31" s="42">
        <f t="shared" si="8"/>
        <v>380.35964942081677</v>
      </c>
      <c r="S31" s="42">
        <f t="shared" si="9"/>
        <v>2142.3921328817678</v>
      </c>
      <c r="T31" s="42">
        <f t="shared" si="10"/>
        <v>35187.657142857141</v>
      </c>
      <c r="U31" s="32">
        <f t="shared" si="11"/>
        <v>6.668561293456662</v>
      </c>
      <c r="V31" s="33">
        <f t="shared" si="12"/>
        <v>7</v>
      </c>
      <c r="W31" s="33">
        <f t="shared" si="13"/>
        <v>17.5</v>
      </c>
      <c r="X31" s="32">
        <f t="shared" si="14"/>
        <v>4.6556283026419649</v>
      </c>
      <c r="Y31" s="32">
        <f t="shared" si="15"/>
        <v>12.105399999999999</v>
      </c>
      <c r="Z31" s="266" t="e">
        <f>IF(Use_BOM_DF,M31/10,MIN(0.972+(0.342*LN(Weather_Site!J34))-(0.245*LN(Weather_Site!I34)),1))</f>
        <v>#NUM!</v>
      </c>
      <c r="AA31" s="33" t="e">
        <f t="shared" si="16"/>
        <v>#NUM!</v>
      </c>
      <c r="AB31" s="33" t="e">
        <f t="shared" si="17"/>
        <v>#NUM!</v>
      </c>
      <c r="AC31" s="265" t="e">
        <f t="shared" si="18"/>
        <v>#NUM!</v>
      </c>
      <c r="AD31" s="32" t="e">
        <f t="shared" si="19"/>
        <v>#NUM!</v>
      </c>
      <c r="AE31" s="32" t="e">
        <f t="shared" si="20"/>
        <v>#NUM!</v>
      </c>
      <c r="AF31" s="42" t="e">
        <f t="shared" si="21"/>
        <v>#NUM!</v>
      </c>
      <c r="AG31" s="83">
        <f t="shared" si="22"/>
        <v>8.3404639352578602</v>
      </c>
    </row>
    <row r="32" spans="1:33" x14ac:dyDescent="0.25">
      <c r="A32" s="23" t="str">
        <f>Weather_Site!A35</f>
        <v>Mon</v>
      </c>
      <c r="B32" s="24">
        <f>Weather_Site!B35</f>
        <v>44550</v>
      </c>
      <c r="C32" s="25">
        <f>Weather_Site!C35</f>
        <v>0.125</v>
      </c>
      <c r="D32" s="27">
        <f>Weather_Site!D35</f>
        <v>15.4</v>
      </c>
      <c r="E32" s="27">
        <f>Weather_Site!E35</f>
        <v>41.3</v>
      </c>
      <c r="F32" s="28">
        <f>Weather_Site!F35</f>
        <v>193</v>
      </c>
      <c r="G32" s="27">
        <f>Weather_Site!G35</f>
        <v>18</v>
      </c>
      <c r="H32" s="27">
        <f>IF(Weather_Site!M35&lt;180,Weather_Site!M35+180,Weather_Site!M35-180)</f>
        <v>13</v>
      </c>
      <c r="I32" s="172">
        <f t="shared" si="27"/>
        <v>0</v>
      </c>
      <c r="J32" s="214">
        <f t="shared" si="28"/>
        <v>3</v>
      </c>
      <c r="K32" s="27">
        <f t="shared" si="2"/>
        <v>6</v>
      </c>
      <c r="L32" s="172">
        <f t="shared" si="29"/>
        <v>24</v>
      </c>
      <c r="M32" s="32">
        <f>IF(Use_BOM_DF,Weather_Site!H35,IF(0.191*(Weather_Site!K35+104)*(Weather_Site!J35+1)^1.5/(3.52*(Weather_Site!J35+1)^1.5+Weather_Site!I35-1)&gt;10, 10,0.191*(Weather_Site!K35+104)*(Weather_Site!J35+1)^1.5/(3.52*(Weather_Site!J35+1)^1.5+Weather_Site!I35-1)))</f>
        <v>7.882539682539683</v>
      </c>
      <c r="N32" s="32">
        <f t="shared" si="4"/>
        <v>6.0365151005970983</v>
      </c>
      <c r="O32" s="33">
        <f t="shared" si="5"/>
        <v>173.85163489719642</v>
      </c>
      <c r="P32" s="33">
        <f t="shared" si="6"/>
        <v>114.09167164400658</v>
      </c>
      <c r="Q32" s="32">
        <f t="shared" si="7"/>
        <v>6.0200712536635521</v>
      </c>
      <c r="R32" s="42">
        <f t="shared" si="8"/>
        <v>227.27082268272946</v>
      </c>
      <c r="S32" s="42">
        <f t="shared" si="9"/>
        <v>1699.3962209728002</v>
      </c>
      <c r="T32" s="42">
        <f t="shared" si="10"/>
        <v>35187.657142857141</v>
      </c>
      <c r="U32" s="32">
        <f t="shared" si="11"/>
        <v>7.3053335475319212</v>
      </c>
      <c r="V32" s="33">
        <f t="shared" si="12"/>
        <v>6</v>
      </c>
      <c r="W32" s="33">
        <f t="shared" si="13"/>
        <v>15</v>
      </c>
      <c r="X32" s="32">
        <f t="shared" si="14"/>
        <v>3.9615163765280066</v>
      </c>
      <c r="Y32" s="32">
        <f t="shared" si="15"/>
        <v>12.8018</v>
      </c>
      <c r="Z32" s="266" t="e">
        <f>IF(Use_BOM_DF,M32/10,MIN(0.972+(0.342*LN(Weather_Site!J35))-(0.245*LN(Weather_Site!I35)),1))</f>
        <v>#NUM!</v>
      </c>
      <c r="AA32" s="33" t="e">
        <f t="shared" si="16"/>
        <v>#NUM!</v>
      </c>
      <c r="AB32" s="33" t="e">
        <f t="shared" si="17"/>
        <v>#NUM!</v>
      </c>
      <c r="AC32" s="265" t="e">
        <f t="shared" si="18"/>
        <v>#NUM!</v>
      </c>
      <c r="AD32" s="32" t="e">
        <f t="shared" si="19"/>
        <v>#NUM!</v>
      </c>
      <c r="AE32" s="32" t="e">
        <f t="shared" si="20"/>
        <v>#NUM!</v>
      </c>
      <c r="AF32" s="42" t="e">
        <f t="shared" si="21"/>
        <v>#NUM!</v>
      </c>
      <c r="AG32" s="83">
        <f t="shared" si="22"/>
        <v>6.4198686267680172</v>
      </c>
    </row>
    <row r="33" spans="1:33" x14ac:dyDescent="0.25">
      <c r="A33" s="23" t="str">
        <f>Weather_Site!A36</f>
        <v>Mon</v>
      </c>
      <c r="B33" s="24">
        <f>Weather_Site!B36</f>
        <v>44550</v>
      </c>
      <c r="C33" s="25">
        <f>Weather_Site!C36</f>
        <v>0.16666666666666666</v>
      </c>
      <c r="D33" s="27">
        <f>Weather_Site!D36</f>
        <v>14.5</v>
      </c>
      <c r="E33" s="27">
        <f>Weather_Site!E36</f>
        <v>44.7</v>
      </c>
      <c r="F33" s="28">
        <f>Weather_Site!F36</f>
        <v>190</v>
      </c>
      <c r="G33" s="27">
        <f>Weather_Site!G36</f>
        <v>15</v>
      </c>
      <c r="H33" s="27">
        <f>IF(Weather_Site!M36&lt;180,Weather_Site!M36+180,Weather_Site!M36-180)</f>
        <v>10</v>
      </c>
      <c r="I33" s="172">
        <f t="shared" si="27"/>
        <v>0</v>
      </c>
      <c r="J33" s="214">
        <f t="shared" si="28"/>
        <v>3</v>
      </c>
      <c r="K33" s="27">
        <f t="shared" si="2"/>
        <v>5</v>
      </c>
      <c r="L33" s="172">
        <f t="shared" si="29"/>
        <v>24</v>
      </c>
      <c r="M33" s="32">
        <f>IF(Use_BOM_DF,Weather_Site!H36,IF(0.191*(Weather_Site!K36+104)*(Weather_Site!J36+1)^1.5/(3.52*(Weather_Site!J36+1)^1.5+Weather_Site!I36-1)&gt;10, 10,0.191*(Weather_Site!K36+104)*(Weather_Site!J36+1)^1.5/(3.52*(Weather_Site!J36+1)^1.5+Weather_Site!I36-1)))</f>
        <v>7.882539682539683</v>
      </c>
      <c r="N33" s="32">
        <f t="shared" si="4"/>
        <v>4.854503716157792</v>
      </c>
      <c r="O33" s="33">
        <f t="shared" si="5"/>
        <v>139.80970702534441</v>
      </c>
      <c r="P33" s="33">
        <f t="shared" si="6"/>
        <v>98.423762377156521</v>
      </c>
      <c r="Q33" s="32">
        <f t="shared" si="7"/>
        <v>5.5775261913294774</v>
      </c>
      <c r="R33" s="42">
        <f t="shared" si="8"/>
        <v>112.27719033161343</v>
      </c>
      <c r="S33" s="42">
        <f t="shared" si="9"/>
        <v>1366.6370633481808</v>
      </c>
      <c r="T33" s="42">
        <f t="shared" si="10"/>
        <v>35187.657142857141</v>
      </c>
      <c r="U33" s="32">
        <f t="shared" si="11"/>
        <v>7.9589269112881613</v>
      </c>
      <c r="V33" s="33">
        <f t="shared" si="12"/>
        <v>5</v>
      </c>
      <c r="W33" s="33">
        <f t="shared" si="13"/>
        <v>12.5</v>
      </c>
      <c r="X33" s="32">
        <f t="shared" si="14"/>
        <v>3.4174917492068242</v>
      </c>
      <c r="Y33" s="32">
        <f t="shared" si="15"/>
        <v>13.436399999999999</v>
      </c>
      <c r="Z33" s="266" t="e">
        <f>IF(Use_BOM_DF,M33/10,MIN(0.972+(0.342*LN(Weather_Site!J36))-(0.245*LN(Weather_Site!I36)),1))</f>
        <v>#NUM!</v>
      </c>
      <c r="AA33" s="33" t="e">
        <f t="shared" si="16"/>
        <v>#NUM!</v>
      </c>
      <c r="AB33" s="33" t="e">
        <f t="shared" si="17"/>
        <v>#NUM!</v>
      </c>
      <c r="AC33" s="265" t="e">
        <f t="shared" si="18"/>
        <v>#NUM!</v>
      </c>
      <c r="AD33" s="32" t="e">
        <f t="shared" si="19"/>
        <v>#NUM!</v>
      </c>
      <c r="AE33" s="32" t="e">
        <f t="shared" si="20"/>
        <v>#NUM!</v>
      </c>
      <c r="AF33" s="42" t="e">
        <f t="shared" si="21"/>
        <v>#NUM!</v>
      </c>
      <c r="AG33" s="83">
        <f t="shared" si="22"/>
        <v>4.9990592970440613</v>
      </c>
    </row>
    <row r="34" spans="1:33" x14ac:dyDescent="0.25">
      <c r="A34" s="23" t="str">
        <f>Weather_Site!A37</f>
        <v>Mon</v>
      </c>
      <c r="B34" s="24">
        <f>Weather_Site!B37</f>
        <v>44550</v>
      </c>
      <c r="C34" s="25">
        <f>Weather_Site!C37</f>
        <v>0.20833333333333334</v>
      </c>
      <c r="D34" s="27">
        <f>Weather_Site!D37</f>
        <v>13.5</v>
      </c>
      <c r="E34" s="27">
        <f>Weather_Site!E37</f>
        <v>48.3</v>
      </c>
      <c r="F34" s="28">
        <f>Weather_Site!F37</f>
        <v>189</v>
      </c>
      <c r="G34" s="27">
        <f>Weather_Site!G37</f>
        <v>15</v>
      </c>
      <c r="H34" s="27">
        <f>IF(Weather_Site!M37&lt;180,Weather_Site!M37+180,Weather_Site!M37-180)</f>
        <v>9</v>
      </c>
      <c r="I34" s="172">
        <f t="shared" si="27"/>
        <v>0</v>
      </c>
      <c r="J34" s="214">
        <f t="shared" si="28"/>
        <v>3</v>
      </c>
      <c r="K34" s="27">
        <f t="shared" si="2"/>
        <v>5</v>
      </c>
      <c r="L34" s="172">
        <f t="shared" si="29"/>
        <v>24</v>
      </c>
      <c r="M34" s="32">
        <f>IF(Use_BOM_DF,Weather_Site!H37,IF(0.191*(Weather_Site!K37+104)*(Weather_Site!J37+1)^1.5/(3.52*(Weather_Site!J37+1)^1.5+Weather_Site!I37-1)&gt;10, 10,0.191*(Weather_Site!K37+104)*(Weather_Site!J37+1)^1.5/(3.52*(Weather_Site!J37+1)^1.5+Weather_Site!I37-1)))</f>
        <v>7.882539682539683</v>
      </c>
      <c r="N34" s="32">
        <f t="shared" si="4"/>
        <v>4.1450169396065153</v>
      </c>
      <c r="O34" s="33">
        <f t="shared" si="5"/>
        <v>119.37648786066764</v>
      </c>
      <c r="P34" s="33">
        <f t="shared" si="6"/>
        <v>84.03910804625275</v>
      </c>
      <c r="Q34" s="32">
        <f t="shared" si="7"/>
        <v>5.3118943421886788</v>
      </c>
      <c r="R34" s="42">
        <f t="shared" si="8"/>
        <v>43.253775993335296</v>
      </c>
      <c r="S34" s="42">
        <f t="shared" si="9"/>
        <v>1166.9027585698905</v>
      </c>
      <c r="T34" s="42">
        <f t="shared" si="10"/>
        <v>35187.657142857141</v>
      </c>
      <c r="U34" s="32">
        <f t="shared" si="11"/>
        <v>8.7407036329454506</v>
      </c>
      <c r="V34" s="33">
        <f t="shared" si="12"/>
        <v>5</v>
      </c>
      <c r="W34" s="33">
        <f t="shared" si="13"/>
        <v>12.5</v>
      </c>
      <c r="X34" s="32">
        <f t="shared" si="14"/>
        <v>2.918024584939332</v>
      </c>
      <c r="Y34" s="32">
        <f t="shared" si="15"/>
        <v>14.121600000000001</v>
      </c>
      <c r="Z34" s="266" t="e">
        <f>IF(Use_BOM_DF,M34/10,MIN(0.972+(0.342*LN(Weather_Site!J37))-(0.245*LN(Weather_Site!I37)),1))</f>
        <v>#NUM!</v>
      </c>
      <c r="AA34" s="33" t="e">
        <f t="shared" si="16"/>
        <v>#NUM!</v>
      </c>
      <c r="AB34" s="33" t="e">
        <f t="shared" si="17"/>
        <v>#NUM!</v>
      </c>
      <c r="AC34" s="265" t="e">
        <f t="shared" si="18"/>
        <v>#NUM!</v>
      </c>
      <c r="AD34" s="32" t="e">
        <f t="shared" si="19"/>
        <v>#NUM!</v>
      </c>
      <c r="AE34" s="32" t="e">
        <f t="shared" si="20"/>
        <v>#NUM!</v>
      </c>
      <c r="AF34" s="42" t="e">
        <f t="shared" si="21"/>
        <v>#NUM!</v>
      </c>
      <c r="AG34" s="83">
        <f t="shared" si="22"/>
        <v>4.1061550382830276</v>
      </c>
    </row>
    <row r="35" spans="1:33" x14ac:dyDescent="0.25">
      <c r="A35" s="45" t="str">
        <f>Weather_Site!A38</f>
        <v>Mon</v>
      </c>
      <c r="B35" s="46">
        <f>Weather_Site!B38</f>
        <v>44550</v>
      </c>
      <c r="C35" s="47">
        <f>Weather_Site!C38</f>
        <v>0.25</v>
      </c>
      <c r="D35" s="48">
        <f>Weather_Site!D38</f>
        <v>12.5</v>
      </c>
      <c r="E35" s="48">
        <f>Weather_Site!E38</f>
        <v>53.1</v>
      </c>
      <c r="F35" s="49">
        <f>Weather_Site!F38</f>
        <v>185</v>
      </c>
      <c r="G35" s="48">
        <f>Weather_Site!G38</f>
        <v>14</v>
      </c>
      <c r="H35" s="48">
        <f>IF(Weather_Site!M38&lt;180,Weather_Site!M38+180,Weather_Site!M38-180)</f>
        <v>5</v>
      </c>
      <c r="I35" s="172">
        <f t="shared" si="27"/>
        <v>0</v>
      </c>
      <c r="J35" s="214">
        <f t="shared" si="28"/>
        <v>3</v>
      </c>
      <c r="K35" s="48">
        <f t="shared" si="2"/>
        <v>4.666666666666667</v>
      </c>
      <c r="L35" s="172">
        <f t="shared" si="29"/>
        <v>24</v>
      </c>
      <c r="M35" s="51">
        <f>IF(Use_BOM_DF,Weather_Site!H38,IF(0.191*(Weather_Site!K38+104)*(Weather_Site!J38+1)^1.5/(3.52*(Weather_Site!J38+1)^1.5+Weather_Site!I38-1)&gt;10, 10,0.191*(Weather_Site!K38+104)*(Weather_Site!J38+1)^1.5/(3.52*(Weather_Site!J38+1)^1.5+Weather_Site!I38-1)))</f>
        <v>7.882539682539683</v>
      </c>
      <c r="N35" s="51">
        <f t="shared" si="4"/>
        <v>3.3171529682116465</v>
      </c>
      <c r="O35" s="52">
        <f t="shared" si="5"/>
        <v>95.534005484495424</v>
      </c>
      <c r="P35" s="52">
        <f t="shared" si="6"/>
        <v>68.846697847491399</v>
      </c>
      <c r="Q35" s="51">
        <f t="shared" si="7"/>
        <v>5.0019420712984406</v>
      </c>
      <c r="R35" s="53">
        <f t="shared" si="8"/>
        <v>0</v>
      </c>
      <c r="S35" s="53">
        <f t="shared" si="9"/>
        <v>933.84297473387983</v>
      </c>
      <c r="T35" s="53">
        <f t="shared" si="10"/>
        <v>35187.657142857141</v>
      </c>
      <c r="U35" s="51">
        <f t="shared" si="11"/>
        <v>9.8824790139426213</v>
      </c>
      <c r="V35" s="52">
        <f t="shared" si="12"/>
        <v>4.666666666666667</v>
      </c>
      <c r="W35" s="52">
        <f t="shared" si="13"/>
        <v>11.666666666666668</v>
      </c>
      <c r="X35" s="51">
        <f t="shared" si="14"/>
        <v>2.3905103419267846</v>
      </c>
      <c r="Y35" s="51">
        <f t="shared" si="15"/>
        <v>14.9412</v>
      </c>
      <c r="Z35" s="51" t="e">
        <f>IF(Use_BOM_DF,M35/10,MIN(0.972+(0.342*LN(Weather_Site!J38))-(0.245*LN(Weather_Site!I38)),1))</f>
        <v>#NUM!</v>
      </c>
      <c r="AA35" s="52" t="e">
        <f t="shared" si="16"/>
        <v>#NUM!</v>
      </c>
      <c r="AB35" s="52" t="e">
        <f t="shared" si="17"/>
        <v>#NUM!</v>
      </c>
      <c r="AC35" s="52" t="e">
        <f t="shared" si="18"/>
        <v>#NUM!</v>
      </c>
      <c r="AD35" s="51" t="e">
        <f t="shared" si="19"/>
        <v>#NUM!</v>
      </c>
      <c r="AE35" s="51" t="e">
        <f t="shared" si="20"/>
        <v>#NUM!</v>
      </c>
      <c r="AF35" s="53" t="e">
        <f t="shared" si="21"/>
        <v>#NUM!</v>
      </c>
      <c r="AG35" s="323">
        <f t="shared" si="22"/>
        <v>3.0995731514883036</v>
      </c>
    </row>
    <row r="36" spans="1:33" x14ac:dyDescent="0.25">
      <c r="A36" s="45" t="str">
        <f>Weather_Site!A39</f>
        <v>Mon</v>
      </c>
      <c r="B36" s="46">
        <f>Weather_Site!B39</f>
        <v>44550</v>
      </c>
      <c r="C36" s="47">
        <f>Weather_Site!C39</f>
        <v>0.29166666666666669</v>
      </c>
      <c r="D36" s="48">
        <f>Weather_Site!D39</f>
        <v>13.4</v>
      </c>
      <c r="E36" s="48">
        <f>Weather_Site!E39</f>
        <v>50.4</v>
      </c>
      <c r="F36" s="49">
        <f>Weather_Site!F39</f>
        <v>181</v>
      </c>
      <c r="G36" s="48">
        <f>Weather_Site!G39</f>
        <v>16</v>
      </c>
      <c r="H36" s="48">
        <f>IF(Weather_Site!M39&lt;180,Weather_Site!M39+180,Weather_Site!M39-180)</f>
        <v>1</v>
      </c>
      <c r="I36" s="172">
        <f t="shared" si="27"/>
        <v>0</v>
      </c>
      <c r="J36" s="214">
        <f t="shared" si="28"/>
        <v>3</v>
      </c>
      <c r="K36" s="48">
        <f t="shared" si="2"/>
        <v>5.333333333333333</v>
      </c>
      <c r="L36" s="172">
        <f t="shared" si="29"/>
        <v>24</v>
      </c>
      <c r="M36" s="51">
        <f>IF(Use_BOM_DF,Weather_Site!H39,IF(0.191*(Weather_Site!K39+104)*(Weather_Site!J39+1)^1.5/(3.52*(Weather_Site!J39+1)^1.5+Weather_Site!I39-1)&gt;10, 10,0.191*(Weather_Site!K39+104)*(Weather_Site!J39+1)^1.5/(3.52*(Weather_Site!J39+1)^1.5+Weather_Site!I39-1)))</f>
        <v>7.882539682539683</v>
      </c>
      <c r="N36" s="51">
        <f t="shared" si="4"/>
        <v>3.9332925548376321</v>
      </c>
      <c r="O36" s="52">
        <f t="shared" si="5"/>
        <v>113.27882557932379</v>
      </c>
      <c r="P36" s="52">
        <f t="shared" si="6"/>
        <v>77.902049544863829</v>
      </c>
      <c r="Q36" s="51">
        <f t="shared" si="7"/>
        <v>5.2326247325312085</v>
      </c>
      <c r="R36" s="53">
        <f t="shared" si="8"/>
        <v>22.655872806955802</v>
      </c>
      <c r="S36" s="53">
        <f t="shared" si="9"/>
        <v>1107.2982328844594</v>
      </c>
      <c r="T36" s="53">
        <f t="shared" si="10"/>
        <v>35187.657142857141</v>
      </c>
      <c r="U36" s="51">
        <f t="shared" si="11"/>
        <v>9.1675483382057621</v>
      </c>
      <c r="V36" s="52">
        <f t="shared" si="12"/>
        <v>5.333333333333333</v>
      </c>
      <c r="W36" s="52">
        <f t="shared" si="13"/>
        <v>13.333333333333334</v>
      </c>
      <c r="X36" s="51">
        <f t="shared" si="14"/>
        <v>2.7049322758633276</v>
      </c>
      <c r="Y36" s="51">
        <f t="shared" si="15"/>
        <v>14.385</v>
      </c>
      <c r="Z36" s="51" t="e">
        <f>IF(Use_BOM_DF,M36/10,MIN(0.972+(0.342*LN(Weather_Site!J39))-(0.245*LN(Weather_Site!I39)),1))</f>
        <v>#NUM!</v>
      </c>
      <c r="AA36" s="52" t="e">
        <f t="shared" si="16"/>
        <v>#NUM!</v>
      </c>
      <c r="AB36" s="52" t="e">
        <f t="shared" si="17"/>
        <v>#NUM!</v>
      </c>
      <c r="AC36" s="52" t="e">
        <f t="shared" si="18"/>
        <v>#NUM!</v>
      </c>
      <c r="AD36" s="51" t="e">
        <f t="shared" si="19"/>
        <v>#NUM!</v>
      </c>
      <c r="AE36" s="51" t="e">
        <f t="shared" si="20"/>
        <v>#NUM!</v>
      </c>
      <c r="AF36" s="53" t="e">
        <f t="shared" si="21"/>
        <v>#NUM!</v>
      </c>
      <c r="AG36" s="323">
        <f t="shared" si="22"/>
        <v>3.8028879184420079</v>
      </c>
    </row>
    <row r="37" spans="1:33" x14ac:dyDescent="0.25">
      <c r="A37" s="45" t="str">
        <f>Weather_Site!A40</f>
        <v>Mon</v>
      </c>
      <c r="B37" s="46">
        <f>Weather_Site!B40</f>
        <v>44550</v>
      </c>
      <c r="C37" s="47">
        <f>Weather_Site!C40</f>
        <v>0.33333333333333331</v>
      </c>
      <c r="D37" s="48">
        <f>Weather_Site!D40</f>
        <v>15.8</v>
      </c>
      <c r="E37" s="48">
        <f>Weather_Site!E40</f>
        <v>44.1</v>
      </c>
      <c r="F37" s="49">
        <f>Weather_Site!F40</f>
        <v>178</v>
      </c>
      <c r="G37" s="48">
        <f>Weather_Site!G40</f>
        <v>21</v>
      </c>
      <c r="H37" s="48">
        <f>IF(Weather_Site!M40&lt;180,Weather_Site!M40+180,Weather_Site!M40-180)</f>
        <v>358</v>
      </c>
      <c r="I37" s="172">
        <f t="shared" si="27"/>
        <v>0</v>
      </c>
      <c r="J37" s="214">
        <f t="shared" si="28"/>
        <v>3</v>
      </c>
      <c r="K37" s="48">
        <f t="shared" si="2"/>
        <v>7</v>
      </c>
      <c r="L37" s="172">
        <f t="shared" si="29"/>
        <v>24</v>
      </c>
      <c r="M37" s="51">
        <f>IF(Use_BOM_DF,Weather_Site!H40,IF(0.191*(Weather_Site!K40+104)*(Weather_Site!J40+1)^1.5/(3.52*(Weather_Site!J40+1)^1.5+Weather_Site!I40-1)&gt;10, 10,0.191*(Weather_Site!K40+104)*(Weather_Site!J40+1)^1.5/(3.52*(Weather_Site!J40+1)^1.5+Weather_Site!I40-1)))</f>
        <v>7.882539682539683</v>
      </c>
      <c r="N37" s="51">
        <f t="shared" si="4"/>
        <v>5.9592633553074457</v>
      </c>
      <c r="O37" s="52">
        <f t="shared" si="5"/>
        <v>171.62678463285442</v>
      </c>
      <c r="P37" s="52">
        <f t="shared" si="6"/>
        <v>104.99600086975747</v>
      </c>
      <c r="Q37" s="51">
        <f t="shared" si="7"/>
        <v>5.9911482002271077</v>
      </c>
      <c r="R37" s="53">
        <f t="shared" si="8"/>
        <v>219.75527848978226</v>
      </c>
      <c r="S37" s="53">
        <f t="shared" si="9"/>
        <v>1677.6483545596434</v>
      </c>
      <c r="T37" s="53">
        <f t="shared" si="10"/>
        <v>35187.657142857141</v>
      </c>
      <c r="U37" s="51">
        <f t="shared" si="11"/>
        <v>7.7085678028046081</v>
      </c>
      <c r="V37" s="52">
        <f t="shared" si="12"/>
        <v>7</v>
      </c>
      <c r="W37" s="52">
        <f t="shared" si="13"/>
        <v>17.5</v>
      </c>
      <c r="X37" s="51">
        <f t="shared" si="14"/>
        <v>3.6456944746443565</v>
      </c>
      <c r="Y37" s="51">
        <f t="shared" si="15"/>
        <v>13.002600000000001</v>
      </c>
      <c r="Z37" s="51" t="e">
        <f>IF(Use_BOM_DF,M37/10,MIN(0.972+(0.342*LN(Weather_Site!J40))-(0.245*LN(Weather_Site!I40)),1))</f>
        <v>#NUM!</v>
      </c>
      <c r="AA37" s="52" t="e">
        <f t="shared" si="16"/>
        <v>#NUM!</v>
      </c>
      <c r="AB37" s="52" t="e">
        <f t="shared" si="17"/>
        <v>#NUM!</v>
      </c>
      <c r="AC37" s="52" t="e">
        <f t="shared" si="18"/>
        <v>#NUM!</v>
      </c>
      <c r="AD37" s="51" t="e">
        <f t="shared" si="19"/>
        <v>#NUM!</v>
      </c>
      <c r="AE37" s="51" t="e">
        <f t="shared" si="20"/>
        <v>#NUM!</v>
      </c>
      <c r="AF37" s="53" t="e">
        <f t="shared" si="21"/>
        <v>#NUM!</v>
      </c>
      <c r="AG37" s="323">
        <f t="shared" si="22"/>
        <v>6.1519522373426172</v>
      </c>
    </row>
    <row r="38" spans="1:33" x14ac:dyDescent="0.25">
      <c r="A38" s="45" t="str">
        <f>Weather_Site!A41</f>
        <v>Mon</v>
      </c>
      <c r="B38" s="46">
        <f>Weather_Site!B41</f>
        <v>44550</v>
      </c>
      <c r="C38" s="47">
        <f>Weather_Site!C41</f>
        <v>0.375</v>
      </c>
      <c r="D38" s="48">
        <f>Weather_Site!D41</f>
        <v>17.100000000000001</v>
      </c>
      <c r="E38" s="48">
        <f>Weather_Site!E41</f>
        <v>39.799999999999997</v>
      </c>
      <c r="F38" s="49">
        <f>Weather_Site!F41</f>
        <v>177</v>
      </c>
      <c r="G38" s="48">
        <f>Weather_Site!G41</f>
        <v>14</v>
      </c>
      <c r="H38" s="48">
        <f>IF(Weather_Site!M41&lt;180,Weather_Site!M41+180,Weather_Site!M41-180)</f>
        <v>357</v>
      </c>
      <c r="I38" s="172">
        <f t="shared" si="27"/>
        <v>0</v>
      </c>
      <c r="J38" s="214">
        <f t="shared" si="28"/>
        <v>3</v>
      </c>
      <c r="K38" s="48">
        <f t="shared" si="2"/>
        <v>4.666666666666667</v>
      </c>
      <c r="L38" s="172">
        <f t="shared" si="29"/>
        <v>24</v>
      </c>
      <c r="M38" s="51">
        <f>IF(Use_BOM_DF,Weather_Site!H41,IF(0.191*(Weather_Site!K41+104)*(Weather_Site!J41+1)^1.5/(3.52*(Weather_Site!J41+1)^1.5+Weather_Site!I41-1)&gt;10, 10,0.191*(Weather_Site!K41+104)*(Weather_Site!J41+1)^1.5/(3.52*(Weather_Site!J41+1)^1.5+Weather_Site!I41-1)))</f>
        <v>7.882539682539683</v>
      </c>
      <c r="N38" s="51">
        <f t="shared" si="4"/>
        <v>6.131484408324507</v>
      </c>
      <c r="O38" s="52">
        <f t="shared" si="5"/>
        <v>176.58675095974579</v>
      </c>
      <c r="P38" s="52">
        <f t="shared" si="6"/>
        <v>127.25745796525729</v>
      </c>
      <c r="Q38" s="51">
        <f t="shared" si="7"/>
        <v>6.0556277624766945</v>
      </c>
      <c r="R38" s="53">
        <f t="shared" si="8"/>
        <v>236.51004474202131</v>
      </c>
      <c r="S38" s="53">
        <f t="shared" si="9"/>
        <v>1726.1319252609244</v>
      </c>
      <c r="T38" s="53">
        <f t="shared" si="10"/>
        <v>35187.657142857141</v>
      </c>
      <c r="U38" s="51">
        <f t="shared" si="11"/>
        <v>6.9188210590692067</v>
      </c>
      <c r="V38" s="52">
        <f t="shared" si="12"/>
        <v>4.666666666666667</v>
      </c>
      <c r="W38" s="52">
        <f t="shared" si="13"/>
        <v>11.666666666666668</v>
      </c>
      <c r="X38" s="51">
        <f t="shared" si="14"/>
        <v>4.4186617349047665</v>
      </c>
      <c r="Y38" s="51">
        <f t="shared" si="15"/>
        <v>12.154399999999999</v>
      </c>
      <c r="Z38" s="51" t="e">
        <f>IF(Use_BOM_DF,M38/10,MIN(0.972+(0.342*LN(Weather_Site!J41))-(0.245*LN(Weather_Site!I41)),1))</f>
        <v>#NUM!</v>
      </c>
      <c r="AA38" s="52" t="e">
        <f t="shared" si="16"/>
        <v>#NUM!</v>
      </c>
      <c r="AB38" s="52" t="e">
        <f t="shared" si="17"/>
        <v>#NUM!</v>
      </c>
      <c r="AC38" s="52" t="e">
        <f t="shared" si="18"/>
        <v>#NUM!</v>
      </c>
      <c r="AD38" s="51" t="e">
        <f t="shared" si="19"/>
        <v>#NUM!</v>
      </c>
      <c r="AE38" s="51" t="e">
        <f t="shared" si="20"/>
        <v>#NUM!</v>
      </c>
      <c r="AF38" s="53" t="e">
        <f t="shared" si="21"/>
        <v>#NUM!</v>
      </c>
      <c r="AG38" s="323">
        <f t="shared" si="22"/>
        <v>6.5531917354257603</v>
      </c>
    </row>
    <row r="39" spans="1:33" x14ac:dyDescent="0.25">
      <c r="A39" s="45" t="str">
        <f>Weather_Site!A42</f>
        <v>Mon</v>
      </c>
      <c r="B39" s="46">
        <f>Weather_Site!B42</f>
        <v>44550</v>
      </c>
      <c r="C39" s="47">
        <f>Weather_Site!C42</f>
        <v>0.41666666666666669</v>
      </c>
      <c r="D39" s="48">
        <f>Weather_Site!D42</f>
        <v>19</v>
      </c>
      <c r="E39" s="48">
        <f>Weather_Site!E42</f>
        <v>33.6</v>
      </c>
      <c r="F39" s="49">
        <f>Weather_Site!F42</f>
        <v>176</v>
      </c>
      <c r="G39" s="48">
        <f>Weather_Site!G42</f>
        <v>18</v>
      </c>
      <c r="H39" s="48">
        <f>IF(Weather_Site!M42&lt;180,Weather_Site!M42+180,Weather_Site!M42-180)</f>
        <v>356</v>
      </c>
      <c r="I39" s="172">
        <f t="shared" si="27"/>
        <v>0</v>
      </c>
      <c r="J39" s="214">
        <f t="shared" si="28"/>
        <v>3</v>
      </c>
      <c r="K39" s="48">
        <f t="shared" si="2"/>
        <v>6</v>
      </c>
      <c r="L39" s="172">
        <f t="shared" si="29"/>
        <v>24</v>
      </c>
      <c r="M39" s="51">
        <f>IF(Use_BOM_DF,Weather_Site!H42,IF(0.191*(Weather_Site!K42+104)*(Weather_Site!J42+1)^1.5/(3.52*(Weather_Site!J42+1)^1.5+Weather_Site!I42-1)&gt;10, 10,0.191*(Weather_Site!K42+104)*(Weather_Site!J42+1)^1.5/(3.52*(Weather_Site!J42+1)^1.5+Weather_Site!I42-1)))</f>
        <v>7.882539682539683</v>
      </c>
      <c r="N39" s="51">
        <f t="shared" si="4"/>
        <v>8.8920433862515118</v>
      </c>
      <c r="O39" s="52">
        <f t="shared" si="5"/>
        <v>256.09084952404356</v>
      </c>
      <c r="P39" s="52">
        <f t="shared" si="6"/>
        <v>168.06188295099577</v>
      </c>
      <c r="Q39" s="51">
        <f t="shared" si="7"/>
        <v>7.089181043812566</v>
      </c>
      <c r="R39" s="53">
        <f t="shared" si="8"/>
        <v>505.07488969221913</v>
      </c>
      <c r="S39" s="53">
        <f t="shared" si="9"/>
        <v>2503.2828835013261</v>
      </c>
      <c r="T39" s="53">
        <f t="shared" si="10"/>
        <v>35187.657142857141</v>
      </c>
      <c r="U39" s="51">
        <f t="shared" si="11"/>
        <v>5.9574468244153458</v>
      </c>
      <c r="V39" s="52">
        <f t="shared" si="12"/>
        <v>6</v>
      </c>
      <c r="W39" s="52">
        <f t="shared" si="13"/>
        <v>15</v>
      </c>
      <c r="X39" s="51">
        <f t="shared" si="14"/>
        <v>5.8354820469095756</v>
      </c>
      <c r="Y39" s="51">
        <f t="shared" si="15"/>
        <v>10.924200000000001</v>
      </c>
      <c r="Z39" s="51" t="e">
        <f>IF(Use_BOM_DF,M39/10,MIN(0.972+(0.342*LN(Weather_Site!J42))-(0.245*LN(Weather_Site!I42)),1))</f>
        <v>#NUM!</v>
      </c>
      <c r="AA39" s="52" t="e">
        <f t="shared" si="16"/>
        <v>#NUM!</v>
      </c>
      <c r="AB39" s="52" t="e">
        <f t="shared" si="17"/>
        <v>#NUM!</v>
      </c>
      <c r="AC39" s="52" t="e">
        <f t="shared" si="18"/>
        <v>#NUM!</v>
      </c>
      <c r="AD39" s="51" t="e">
        <f t="shared" si="19"/>
        <v>#NUM!</v>
      </c>
      <c r="AE39" s="51" t="e">
        <f t="shared" si="20"/>
        <v>#NUM!</v>
      </c>
      <c r="AF39" s="53" t="e">
        <f t="shared" si="21"/>
        <v>#NUM!</v>
      </c>
      <c r="AG39" s="323">
        <f t="shared" si="22"/>
        <v>9.8524418182550679</v>
      </c>
    </row>
    <row r="40" spans="1:33" x14ac:dyDescent="0.25">
      <c r="A40" s="23" t="str">
        <f>Weather_Site!A43</f>
        <v>Mon</v>
      </c>
      <c r="B40" s="24">
        <f>Weather_Site!B43</f>
        <v>44550</v>
      </c>
      <c r="C40" s="25">
        <f>Weather_Site!C43</f>
        <v>0.45833333333333331</v>
      </c>
      <c r="D40" s="27">
        <f>Weather_Site!D43</f>
        <v>20.5</v>
      </c>
      <c r="E40" s="27">
        <f>Weather_Site!E43</f>
        <v>29.9</v>
      </c>
      <c r="F40" s="28">
        <f>Weather_Site!F43</f>
        <v>166</v>
      </c>
      <c r="G40" s="27">
        <f>Weather_Site!G43</f>
        <v>16</v>
      </c>
      <c r="H40" s="27">
        <f>IF(Weather_Site!M43&lt;180,Weather_Site!M43+180,Weather_Site!M43-180)</f>
        <v>346</v>
      </c>
      <c r="I40" s="172">
        <f t="shared" si="27"/>
        <v>0</v>
      </c>
      <c r="J40" s="214">
        <f t="shared" si="28"/>
        <v>3</v>
      </c>
      <c r="K40" s="27">
        <f t="shared" si="2"/>
        <v>5.333333333333333</v>
      </c>
      <c r="L40" s="172">
        <f t="shared" si="29"/>
        <v>24</v>
      </c>
      <c r="M40" s="32">
        <f>IF(Use_BOM_DF,Weather_Site!H43,IF(0.191*(Weather_Site!K43+104)*(Weather_Site!J43+1)^1.5/(3.52*(Weather_Site!J43+1)^1.5+Weather_Site!I43-1)&gt;10, 10,0.191*(Weather_Site!K43+104)*(Weather_Site!J43+1)^1.5/(3.52*(Weather_Site!J43+1)^1.5+Weather_Site!I43-1)))</f>
        <v>7.882539682539683</v>
      </c>
      <c r="N40" s="32">
        <f t="shared" si="4"/>
        <v>10.14221965743716</v>
      </c>
      <c r="O40" s="33">
        <f t="shared" si="5"/>
        <v>292.09592613419022</v>
      </c>
      <c r="P40" s="33">
        <f t="shared" si="6"/>
        <v>200.87488719261492</v>
      </c>
      <c r="Q40" s="32">
        <f t="shared" si="7"/>
        <v>7.5572470397444729</v>
      </c>
      <c r="R40" s="42">
        <f t="shared" si="8"/>
        <v>626.70003848129465</v>
      </c>
      <c r="S40" s="42">
        <f t="shared" si="9"/>
        <v>2855.231780405868</v>
      </c>
      <c r="T40" s="42">
        <f t="shared" si="10"/>
        <v>35187.657142857141</v>
      </c>
      <c r="U40" s="32">
        <f t="shared" si="11"/>
        <v>5.4491236448141009</v>
      </c>
      <c r="V40" s="33">
        <f t="shared" si="12"/>
        <v>5.333333333333333</v>
      </c>
      <c r="W40" s="33">
        <f t="shared" si="13"/>
        <v>13.333333333333334</v>
      </c>
      <c r="X40" s="32">
        <f t="shared" si="14"/>
        <v>6.9748224719657967</v>
      </c>
      <c r="Y40" s="32">
        <f t="shared" si="15"/>
        <v>10.0868</v>
      </c>
      <c r="Z40" s="266" t="e">
        <f>IF(Use_BOM_DF,M40/10,MIN(0.972+(0.342*LN(Weather_Site!J43))-(0.245*LN(Weather_Site!I43)),1))</f>
        <v>#NUM!</v>
      </c>
      <c r="AA40" s="33" t="e">
        <f t="shared" si="16"/>
        <v>#NUM!</v>
      </c>
      <c r="AB40" s="33" t="e">
        <f t="shared" si="17"/>
        <v>#NUM!</v>
      </c>
      <c r="AC40" s="33" t="e">
        <f t="shared" si="18"/>
        <v>#NUM!</v>
      </c>
      <c r="AD40" s="32" t="e">
        <f t="shared" si="19"/>
        <v>#NUM!</v>
      </c>
      <c r="AE40" s="32" t="e">
        <f t="shared" si="20"/>
        <v>#NUM!</v>
      </c>
      <c r="AF40" s="42" t="e">
        <f t="shared" si="21"/>
        <v>#NUM!</v>
      </c>
      <c r="AG40" s="83">
        <f t="shared" si="22"/>
        <v>11.338595766781937</v>
      </c>
    </row>
    <row r="41" spans="1:33" x14ac:dyDescent="0.25">
      <c r="A41" s="23" t="str">
        <f>Weather_Site!A44</f>
        <v>Mon</v>
      </c>
      <c r="B41" s="24">
        <f>Weather_Site!B44</f>
        <v>44550</v>
      </c>
      <c r="C41" s="25">
        <f>Weather_Site!C44</f>
        <v>0.5</v>
      </c>
      <c r="D41" s="27">
        <f>Weather_Site!D44</f>
        <v>22.3</v>
      </c>
      <c r="E41" s="27">
        <f>Weather_Site!E44</f>
        <v>25.7</v>
      </c>
      <c r="F41" s="28">
        <f>Weather_Site!F44</f>
        <v>169</v>
      </c>
      <c r="G41" s="27">
        <f>Weather_Site!G44</f>
        <v>15</v>
      </c>
      <c r="H41" s="27">
        <f>IF(Weather_Site!M44&lt;180,Weather_Site!M44+180,Weather_Site!M44-180)</f>
        <v>349</v>
      </c>
      <c r="I41" s="172">
        <f t="shared" si="27"/>
        <v>0</v>
      </c>
      <c r="J41" s="214">
        <f t="shared" si="28"/>
        <v>3</v>
      </c>
      <c r="K41" s="27">
        <f t="shared" si="2"/>
        <v>5</v>
      </c>
      <c r="L41" s="172">
        <f t="shared" si="29"/>
        <v>24</v>
      </c>
      <c r="M41" s="32">
        <f>IF(Use_BOM_DF,Weather_Site!H44,IF(0.191*(Weather_Site!K44+104)*(Weather_Site!J44+1)^1.5/(3.52*(Weather_Site!J44+1)^1.5+Weather_Site!I44-1)&gt;10, 10,0.191*(Weather_Site!K44+104)*(Weather_Site!J44+1)^1.5/(3.52*(Weather_Site!J44+1)^1.5+Weather_Site!I44-1)))</f>
        <v>7.882539682539683</v>
      </c>
      <c r="N41" s="32">
        <f t="shared" si="4"/>
        <v>12.170888057050821</v>
      </c>
      <c r="O41" s="33">
        <f t="shared" si="5"/>
        <v>350.52157604306359</v>
      </c>
      <c r="P41" s="33">
        <f t="shared" si="6"/>
        <v>246.76149491018444</v>
      </c>
      <c r="Q41" s="32">
        <f t="shared" si="7"/>
        <v>8.3167804885598269</v>
      </c>
      <c r="R41" s="42">
        <f t="shared" si="8"/>
        <v>824.0618838734689</v>
      </c>
      <c r="S41" s="42">
        <f t="shared" si="9"/>
        <v>3426.3413286234118</v>
      </c>
      <c r="T41" s="42">
        <f t="shared" si="10"/>
        <v>35187.657142857141</v>
      </c>
      <c r="U41" s="32">
        <f t="shared" si="11"/>
        <v>4.9423826771493147</v>
      </c>
      <c r="V41" s="33">
        <f t="shared" si="12"/>
        <v>5</v>
      </c>
      <c r="W41" s="33">
        <f t="shared" si="13"/>
        <v>12.5</v>
      </c>
      <c r="X41" s="32">
        <f t="shared" si="14"/>
        <v>8.5681074621591815</v>
      </c>
      <c r="Y41" s="32">
        <f t="shared" si="15"/>
        <v>6.4100999999999999</v>
      </c>
      <c r="Z41" s="266" t="e">
        <f>IF(Use_BOM_DF,M41/10,MIN(0.972+(0.342*LN(Weather_Site!J44))-(0.245*LN(Weather_Site!I44)),1))</f>
        <v>#NUM!</v>
      </c>
      <c r="AA41" s="33" t="e">
        <f t="shared" si="16"/>
        <v>#NUM!</v>
      </c>
      <c r="AB41" s="33" t="e">
        <f t="shared" si="17"/>
        <v>#NUM!</v>
      </c>
      <c r="AC41" s="33" t="e">
        <f t="shared" si="18"/>
        <v>#NUM!</v>
      </c>
      <c r="AD41" s="32" t="e">
        <f t="shared" si="19"/>
        <v>#NUM!</v>
      </c>
      <c r="AE41" s="32" t="e">
        <f t="shared" si="20"/>
        <v>#NUM!</v>
      </c>
      <c r="AF41" s="42" t="e">
        <f t="shared" si="21"/>
        <v>#NUM!</v>
      </c>
      <c r="AG41" s="83">
        <f t="shared" si="22"/>
        <v>13.596164123043192</v>
      </c>
    </row>
    <row r="42" spans="1:33" x14ac:dyDescent="0.25">
      <c r="A42" s="23" t="str">
        <f>Weather_Site!A45</f>
        <v>Mon</v>
      </c>
      <c r="B42" s="24">
        <f>Weather_Site!B45</f>
        <v>44550</v>
      </c>
      <c r="C42" s="25">
        <f>Weather_Site!C45</f>
        <v>0.54166666666666663</v>
      </c>
      <c r="D42" s="27">
        <f>Weather_Site!D45</f>
        <v>24</v>
      </c>
      <c r="E42" s="27">
        <f>Weather_Site!E45</f>
        <v>22.2</v>
      </c>
      <c r="F42" s="28">
        <f>Weather_Site!F45</f>
        <v>185</v>
      </c>
      <c r="G42" s="27">
        <f>Weather_Site!G45</f>
        <v>14</v>
      </c>
      <c r="H42" s="27">
        <f>IF(Weather_Site!M45&lt;180,Weather_Site!M45+180,Weather_Site!M45-180)</f>
        <v>5</v>
      </c>
      <c r="I42" s="172">
        <f t="shared" si="27"/>
        <v>0</v>
      </c>
      <c r="J42" s="214">
        <f t="shared" si="28"/>
        <v>3</v>
      </c>
      <c r="K42" s="27">
        <f t="shared" si="2"/>
        <v>4.666666666666667</v>
      </c>
      <c r="L42" s="172">
        <f t="shared" si="29"/>
        <v>24</v>
      </c>
      <c r="M42" s="32">
        <f>IF(Use_BOM_DF,Weather_Site!H45,IF(0.191*(Weather_Site!K45+104)*(Weather_Site!J45+1)^1.5/(3.52*(Weather_Site!J45+1)^1.5+Weather_Site!I45-1)&gt;10, 10,0.191*(Weather_Site!K45+104)*(Weather_Site!J45+1)^1.5/(3.52*(Weather_Site!J45+1)^1.5+Weather_Site!I45-1)))</f>
        <v>7.882539682539683</v>
      </c>
      <c r="N42" s="32">
        <f t="shared" si="4"/>
        <v>14.208734417511449</v>
      </c>
      <c r="O42" s="33">
        <f t="shared" si="5"/>
        <v>409.21155122432975</v>
      </c>
      <c r="P42" s="33">
        <f t="shared" si="6"/>
        <v>294.89880467135828</v>
      </c>
      <c r="Q42" s="32">
        <f t="shared" si="7"/>
        <v>9.0797501659162876</v>
      </c>
      <c r="R42" s="42">
        <f t="shared" si="8"/>
        <v>1022.3166200357858</v>
      </c>
      <c r="S42" s="42">
        <f t="shared" si="9"/>
        <v>4000.0346510417421</v>
      </c>
      <c r="T42" s="42">
        <f t="shared" si="10"/>
        <v>35187.657142857141</v>
      </c>
      <c r="U42" s="32">
        <f t="shared" si="11"/>
        <v>4.5670453867337857</v>
      </c>
      <c r="V42" s="33">
        <f t="shared" si="12"/>
        <v>4.666666666666667</v>
      </c>
      <c r="W42" s="33">
        <f t="shared" si="13"/>
        <v>11.666666666666668</v>
      </c>
      <c r="X42" s="32">
        <f t="shared" si="14"/>
        <v>10.239541828866606</v>
      </c>
      <c r="Y42" s="32">
        <f t="shared" si="15"/>
        <v>5.6555999999999997</v>
      </c>
      <c r="Z42" s="266" t="e">
        <f>IF(Use_BOM_DF,M42/10,MIN(0.972+(0.342*LN(Weather_Site!J45))-(0.245*LN(Weather_Site!I45)),1))</f>
        <v>#NUM!</v>
      </c>
      <c r="AA42" s="33" t="e">
        <f t="shared" si="16"/>
        <v>#NUM!</v>
      </c>
      <c r="AB42" s="33" t="e">
        <f t="shared" si="17"/>
        <v>#NUM!</v>
      </c>
      <c r="AC42" s="33" t="e">
        <f t="shared" si="18"/>
        <v>#NUM!</v>
      </c>
      <c r="AD42" s="32" t="e">
        <f t="shared" si="19"/>
        <v>#NUM!</v>
      </c>
      <c r="AE42" s="32" t="e">
        <f t="shared" si="20"/>
        <v>#NUM!</v>
      </c>
      <c r="AF42" s="42" t="e">
        <f t="shared" si="21"/>
        <v>#NUM!</v>
      </c>
      <c r="AG42" s="83">
        <f t="shared" si="22"/>
        <v>15.67783516591337</v>
      </c>
    </row>
    <row r="43" spans="1:33" x14ac:dyDescent="0.25">
      <c r="A43" s="23" t="str">
        <f>Weather_Site!A46</f>
        <v>Mon</v>
      </c>
      <c r="B43" s="24">
        <f>Weather_Site!B46</f>
        <v>44550</v>
      </c>
      <c r="C43" s="25">
        <f>Weather_Site!C46</f>
        <v>0.58333333333333337</v>
      </c>
      <c r="D43" s="27">
        <f>Weather_Site!D46</f>
        <v>26</v>
      </c>
      <c r="E43" s="27">
        <f>Weather_Site!E46</f>
        <v>18.8</v>
      </c>
      <c r="F43" s="28">
        <f>Weather_Site!F46</f>
        <v>199</v>
      </c>
      <c r="G43" s="27">
        <f>Weather_Site!G46</f>
        <v>13</v>
      </c>
      <c r="H43" s="27">
        <f>IF(Weather_Site!M46&lt;180,Weather_Site!M46+180,Weather_Site!M46-180)</f>
        <v>19</v>
      </c>
      <c r="I43" s="172">
        <f t="shared" si="27"/>
        <v>0</v>
      </c>
      <c r="J43" s="214">
        <f t="shared" si="28"/>
        <v>3</v>
      </c>
      <c r="K43" s="27">
        <f t="shared" si="2"/>
        <v>4.333333333333333</v>
      </c>
      <c r="L43" s="172">
        <f t="shared" si="29"/>
        <v>24</v>
      </c>
      <c r="M43" s="32">
        <f>IF(Use_BOM_DF,Weather_Site!H46,IF(0.191*(Weather_Site!K46+104)*(Weather_Site!J46+1)^1.5/(3.52*(Weather_Site!J46+1)^1.5+Weather_Site!I46-1)&gt;10, 10,0.191*(Weather_Site!K46+104)*(Weather_Site!J46+1)^1.5/(3.52*(Weather_Site!J46+1)^1.5+Weather_Site!I46-1)))</f>
        <v>7.882539682539683</v>
      </c>
      <c r="N43" s="32">
        <f t="shared" si="4"/>
        <v>16.699134226188196</v>
      </c>
      <c r="O43" s="33">
        <f t="shared" si="5"/>
        <v>480.93506571422006</v>
      </c>
      <c r="P43" s="33">
        <f t="shared" si="6"/>
        <v>354.79219875829756</v>
      </c>
      <c r="Q43" s="32">
        <f t="shared" si="7"/>
        <v>10.01215585428486</v>
      </c>
      <c r="R43" s="42">
        <f t="shared" si="8"/>
        <v>1264.5986519826354</v>
      </c>
      <c r="S43" s="42">
        <f t="shared" si="9"/>
        <v>4701.1305570485083</v>
      </c>
      <c r="T43" s="42">
        <f t="shared" si="10"/>
        <v>35187.657142857141</v>
      </c>
      <c r="U43" s="32">
        <f t="shared" si="11"/>
        <v>4.2365444812488802</v>
      </c>
      <c r="V43" s="33">
        <f t="shared" si="12"/>
        <v>4.333333333333333</v>
      </c>
      <c r="W43" s="33">
        <f t="shared" si="13"/>
        <v>10.833333333333334</v>
      </c>
      <c r="X43" s="32">
        <f t="shared" si="14"/>
        <v>12.319173567996444</v>
      </c>
      <c r="Y43" s="32">
        <f t="shared" si="15"/>
        <v>4.8634000000000004</v>
      </c>
      <c r="Z43" s="266" t="e">
        <f>IF(Use_BOM_DF,M43/10,MIN(0.972+(0.342*LN(Weather_Site!J46))-(0.245*LN(Weather_Site!I46)),1))</f>
        <v>#NUM!</v>
      </c>
      <c r="AA43" s="33" t="e">
        <f t="shared" si="16"/>
        <v>#NUM!</v>
      </c>
      <c r="AB43" s="33" t="e">
        <f t="shared" si="17"/>
        <v>#NUM!</v>
      </c>
      <c r="AC43" s="33" t="e">
        <f t="shared" si="18"/>
        <v>#NUM!</v>
      </c>
      <c r="AD43" s="32" t="e">
        <f t="shared" si="19"/>
        <v>#NUM!</v>
      </c>
      <c r="AE43" s="32" t="e">
        <f t="shared" si="20"/>
        <v>#NUM!</v>
      </c>
      <c r="AF43" s="42" t="e">
        <f t="shared" si="21"/>
        <v>#NUM!</v>
      </c>
      <c r="AG43" s="83">
        <f t="shared" si="22"/>
        <v>17.932179308327186</v>
      </c>
    </row>
    <row r="44" spans="1:33" x14ac:dyDescent="0.25">
      <c r="A44" s="23" t="str">
        <f>Weather_Site!A47</f>
        <v>Mon</v>
      </c>
      <c r="B44" s="24">
        <f>Weather_Site!B47</f>
        <v>44550</v>
      </c>
      <c r="C44" s="25">
        <f>Weather_Site!C47</f>
        <v>0.625</v>
      </c>
      <c r="D44" s="27">
        <f>Weather_Site!D47</f>
        <v>27.5</v>
      </c>
      <c r="E44" s="27">
        <f>Weather_Site!E47</f>
        <v>16.600000000000001</v>
      </c>
      <c r="F44" s="28">
        <f>Weather_Site!F47</f>
        <v>204</v>
      </c>
      <c r="G44" s="27">
        <f>Weather_Site!G47</f>
        <v>11</v>
      </c>
      <c r="H44" s="27">
        <f>IF(Weather_Site!M47&lt;180,Weather_Site!M47+180,Weather_Site!M47-180)</f>
        <v>24</v>
      </c>
      <c r="I44" s="172">
        <f t="shared" si="27"/>
        <v>0</v>
      </c>
      <c r="J44" s="214">
        <f t="shared" si="28"/>
        <v>3</v>
      </c>
      <c r="K44" s="27">
        <f t="shared" si="2"/>
        <v>3.6666666666666665</v>
      </c>
      <c r="L44" s="172">
        <f t="shared" si="29"/>
        <v>24</v>
      </c>
      <c r="M44" s="32">
        <f>IF(Use_BOM_DF,Weather_Site!H47,IF(0.191*(Weather_Site!K47+104)*(Weather_Site!J47+1)^1.5/(3.52*(Weather_Site!J47+1)^1.5+Weather_Site!I47-1)&gt;10, 10,0.191*(Weather_Site!K47+104)*(Weather_Site!J47+1)^1.5/(3.52*(Weather_Site!J47+1)^1.5+Weather_Site!I47-1)))</f>
        <v>7.882539682539683</v>
      </c>
      <c r="N44" s="32">
        <f t="shared" si="4"/>
        <v>18.086338519143233</v>
      </c>
      <c r="O44" s="33">
        <f t="shared" si="5"/>
        <v>520.88654935132502</v>
      </c>
      <c r="P44" s="33">
        <f t="shared" si="6"/>
        <v>402.67599762885573</v>
      </c>
      <c r="Q44" s="32">
        <f t="shared" si="7"/>
        <v>10.531525141567226</v>
      </c>
      <c r="R44" s="42">
        <f t="shared" si="8"/>
        <v>1399.5547637087759</v>
      </c>
      <c r="S44" s="42">
        <f t="shared" si="9"/>
        <v>5091.6555029617302</v>
      </c>
      <c r="T44" s="42">
        <f t="shared" si="10"/>
        <v>35187.657142857141</v>
      </c>
      <c r="U44" s="32">
        <f t="shared" si="11"/>
        <v>4.0406761229203321</v>
      </c>
      <c r="V44" s="33">
        <f t="shared" si="12"/>
        <v>3.6666666666666665</v>
      </c>
      <c r="W44" s="33">
        <f t="shared" si="13"/>
        <v>9.1666666666666679</v>
      </c>
      <c r="X44" s="32">
        <f t="shared" si="14"/>
        <v>13.981805473224158</v>
      </c>
      <c r="Y44" s="32">
        <f t="shared" si="15"/>
        <v>4.3157999999999994</v>
      </c>
      <c r="Z44" s="266" t="e">
        <f>IF(Use_BOM_DF,M44/10,MIN(0.972+(0.342*LN(Weather_Site!J47))-(0.245*LN(Weather_Site!I47)),1))</f>
        <v>#NUM!</v>
      </c>
      <c r="AA44" s="33" t="e">
        <f t="shared" si="16"/>
        <v>#NUM!</v>
      </c>
      <c r="AB44" s="33" t="e">
        <f t="shared" si="17"/>
        <v>#NUM!</v>
      </c>
      <c r="AC44" s="33" t="e">
        <f t="shared" si="18"/>
        <v>#NUM!</v>
      </c>
      <c r="AD44" s="32" t="e">
        <f t="shared" si="19"/>
        <v>#NUM!</v>
      </c>
      <c r="AE44" s="32" t="e">
        <f t="shared" si="20"/>
        <v>#NUM!</v>
      </c>
      <c r="AF44" s="42" t="e">
        <f t="shared" si="21"/>
        <v>#NUM!</v>
      </c>
      <c r="AG44" s="83">
        <f t="shared" si="22"/>
        <v>18.900762396520303</v>
      </c>
    </row>
    <row r="45" spans="1:33" x14ac:dyDescent="0.25">
      <c r="A45" s="45" t="str">
        <f>Weather_Site!A48</f>
        <v>Mon</v>
      </c>
      <c r="B45" s="46">
        <f>Weather_Site!B48</f>
        <v>44550</v>
      </c>
      <c r="C45" s="47">
        <f>Weather_Site!C48</f>
        <v>0.66666666666666663</v>
      </c>
      <c r="D45" s="48">
        <f>Weather_Site!D48</f>
        <v>28.5</v>
      </c>
      <c r="E45" s="48">
        <f>Weather_Site!E48</f>
        <v>16</v>
      </c>
      <c r="F45" s="49">
        <f>Weather_Site!F48</f>
        <v>209</v>
      </c>
      <c r="G45" s="48">
        <f>Weather_Site!G48</f>
        <v>12</v>
      </c>
      <c r="H45" s="48">
        <f>IF(Weather_Site!M48&lt;180,Weather_Site!M48+180,Weather_Site!M48-180)</f>
        <v>29</v>
      </c>
      <c r="I45" s="172">
        <f t="shared" si="27"/>
        <v>0</v>
      </c>
      <c r="J45" s="214">
        <f t="shared" si="28"/>
        <v>3</v>
      </c>
      <c r="K45" s="48">
        <f t="shared" si="2"/>
        <v>4</v>
      </c>
      <c r="L45" s="172">
        <f t="shared" si="29"/>
        <v>24</v>
      </c>
      <c r="M45" s="51">
        <f>IF(Use_BOM_DF,Weather_Site!H48,IF(0.191*(Weather_Site!K48+104)*(Weather_Site!J48+1)^1.5/(3.52*(Weather_Site!J48+1)^1.5+Weather_Site!I48-1)&gt;10, 10,0.191*(Weather_Site!K48+104)*(Weather_Site!J48+1)^1.5/(3.52*(Weather_Site!J48+1)^1.5+Weather_Site!I48-1)))</f>
        <v>7.882539682539683</v>
      </c>
      <c r="N45" s="51">
        <f t="shared" si="4"/>
        <v>19.55159512814922</v>
      </c>
      <c r="O45" s="52">
        <f t="shared" si="5"/>
        <v>563.0859396906975</v>
      </c>
      <c r="P45" s="52">
        <f t="shared" si="6"/>
        <v>425.23087744841507</v>
      </c>
      <c r="Q45" s="51">
        <f t="shared" si="7"/>
        <v>11.080117215979067</v>
      </c>
      <c r="R45" s="53">
        <f t="shared" si="8"/>
        <v>1542.1043042751762</v>
      </c>
      <c r="S45" s="53">
        <f t="shared" si="9"/>
        <v>5504.1536915033103</v>
      </c>
      <c r="T45" s="53">
        <f t="shared" si="10"/>
        <v>35187.657142857141</v>
      </c>
      <c r="U45" s="51">
        <f t="shared" si="11"/>
        <v>3.977868790607118</v>
      </c>
      <c r="V45" s="52">
        <f t="shared" si="12"/>
        <v>4</v>
      </c>
      <c r="W45" s="52">
        <f t="shared" si="13"/>
        <v>10</v>
      </c>
      <c r="X45" s="51">
        <f t="shared" si="14"/>
        <v>14.764961022514415</v>
      </c>
      <c r="Y45" s="51">
        <f t="shared" si="15"/>
        <v>4.0659999999999998</v>
      </c>
      <c r="Z45" s="51" t="e">
        <f>IF(Use_BOM_DF,M45/10,MIN(0.972+(0.342*LN(Weather_Site!J48))-(0.245*LN(Weather_Site!I48)),1))</f>
        <v>#NUM!</v>
      </c>
      <c r="AA45" s="52" t="e">
        <f t="shared" si="16"/>
        <v>#NUM!</v>
      </c>
      <c r="AB45" s="52" t="e">
        <f t="shared" si="17"/>
        <v>#NUM!</v>
      </c>
      <c r="AC45" s="52" t="e">
        <f t="shared" si="18"/>
        <v>#NUM!</v>
      </c>
      <c r="AD45" s="51" t="e">
        <f t="shared" si="19"/>
        <v>#NUM!</v>
      </c>
      <c r="AE45" s="51" t="e">
        <f t="shared" si="20"/>
        <v>#NUM!</v>
      </c>
      <c r="AF45" s="53" t="e">
        <f t="shared" si="21"/>
        <v>#NUM!</v>
      </c>
      <c r="AG45" s="323">
        <f t="shared" si="22"/>
        <v>19.995365497813435</v>
      </c>
    </row>
    <row r="46" spans="1:33" x14ac:dyDescent="0.25">
      <c r="A46" s="45" t="str">
        <f>Weather_Site!A49</f>
        <v>Mon</v>
      </c>
      <c r="B46" s="46">
        <f>Weather_Site!B49</f>
        <v>44550</v>
      </c>
      <c r="C46" s="47">
        <f>Weather_Site!C49</f>
        <v>0.70833333333333337</v>
      </c>
      <c r="D46" s="48">
        <f>Weather_Site!D49</f>
        <v>29.2</v>
      </c>
      <c r="E46" s="48">
        <f>Weather_Site!E49</f>
        <v>15.3</v>
      </c>
      <c r="F46" s="49">
        <f>Weather_Site!F49</f>
        <v>212</v>
      </c>
      <c r="G46" s="48">
        <f>Weather_Site!G49</f>
        <v>11</v>
      </c>
      <c r="H46" s="48">
        <f>IF(Weather_Site!M49&lt;180,Weather_Site!M49+180,Weather_Site!M49-180)</f>
        <v>32</v>
      </c>
      <c r="I46" s="172">
        <f t="shared" si="27"/>
        <v>0</v>
      </c>
      <c r="J46" s="214">
        <f t="shared" si="28"/>
        <v>3</v>
      </c>
      <c r="K46" s="48">
        <f t="shared" si="2"/>
        <v>3.6666666666666665</v>
      </c>
      <c r="L46" s="172">
        <f t="shared" si="29"/>
        <v>24</v>
      </c>
      <c r="M46" s="51">
        <f>IF(Use_BOM_DF,Weather_Site!H49,IF(0.191*(Weather_Site!K49+104)*(Weather_Site!J49+1)^1.5/(3.52*(Weather_Site!J49+1)^1.5+Weather_Site!I49-1)&gt;10, 10,0.191*(Weather_Site!K49+104)*(Weather_Site!J49+1)^1.5/(3.52*(Weather_Site!J49+1)^1.5+Weather_Site!I49-1)))</f>
        <v>7.882539682539683</v>
      </c>
      <c r="N46" s="51">
        <f t="shared" si="4"/>
        <v>20.034722141470404</v>
      </c>
      <c r="O46" s="52">
        <f t="shared" si="5"/>
        <v>576.99999767434758</v>
      </c>
      <c r="P46" s="52">
        <f t="shared" si="6"/>
        <v>446.05499985497806</v>
      </c>
      <c r="Q46" s="51">
        <f t="shared" si="7"/>
        <v>11.26099996976652</v>
      </c>
      <c r="R46" s="53">
        <f t="shared" si="8"/>
        <v>1589.1059921439467</v>
      </c>
      <c r="S46" s="53">
        <f t="shared" si="9"/>
        <v>5640.1633273620337</v>
      </c>
      <c r="T46" s="53">
        <f t="shared" si="10"/>
        <v>35187.657142857141</v>
      </c>
      <c r="U46" s="51">
        <f t="shared" si="11"/>
        <v>3.9170574199009689</v>
      </c>
      <c r="V46" s="52">
        <f t="shared" si="12"/>
        <v>3.6666666666666665</v>
      </c>
      <c r="W46" s="52">
        <f t="shared" si="13"/>
        <v>9.1666666666666679</v>
      </c>
      <c r="X46" s="51">
        <f t="shared" si="14"/>
        <v>15.48802082829785</v>
      </c>
      <c r="Y46" s="51">
        <f t="shared" si="15"/>
        <v>3.8539000000000003</v>
      </c>
      <c r="Z46" s="51" t="e">
        <f>IF(Use_BOM_DF,M46/10,MIN(0.972+(0.342*LN(Weather_Site!J49))-(0.245*LN(Weather_Site!I49)),1))</f>
        <v>#NUM!</v>
      </c>
      <c r="AA46" s="52" t="e">
        <f t="shared" si="16"/>
        <v>#NUM!</v>
      </c>
      <c r="AB46" s="52" t="e">
        <f t="shared" si="17"/>
        <v>#NUM!</v>
      </c>
      <c r="AC46" s="52" t="e">
        <f t="shared" si="18"/>
        <v>#NUM!</v>
      </c>
      <c r="AD46" s="51" t="e">
        <f t="shared" si="19"/>
        <v>#NUM!</v>
      </c>
      <c r="AE46" s="51" t="e">
        <f t="shared" si="20"/>
        <v>#NUM!</v>
      </c>
      <c r="AF46" s="53" t="e">
        <f t="shared" si="21"/>
        <v>#NUM!</v>
      </c>
      <c r="AG46" s="323">
        <f t="shared" si="22"/>
        <v>20.175157778725072</v>
      </c>
    </row>
    <row r="47" spans="1:33" x14ac:dyDescent="0.25">
      <c r="A47" s="45" t="str">
        <f>Weather_Site!A50</f>
        <v>Mon</v>
      </c>
      <c r="B47" s="46">
        <f>Weather_Site!B50</f>
        <v>44550</v>
      </c>
      <c r="C47" s="47">
        <f>Weather_Site!C50</f>
        <v>0.75</v>
      </c>
      <c r="D47" s="48">
        <f>Weather_Site!D50</f>
        <v>29.1</v>
      </c>
      <c r="E47" s="48">
        <f>Weather_Site!E50</f>
        <v>15.9</v>
      </c>
      <c r="F47" s="49">
        <f>Weather_Site!F50</f>
        <v>211</v>
      </c>
      <c r="G47" s="48">
        <f>Weather_Site!G50</f>
        <v>11</v>
      </c>
      <c r="H47" s="48">
        <f>IF(Weather_Site!M50&lt;180,Weather_Site!M50+180,Weather_Site!M50-180)</f>
        <v>31</v>
      </c>
      <c r="I47" s="172">
        <f t="shared" si="27"/>
        <v>0</v>
      </c>
      <c r="J47" s="214">
        <f t="shared" si="28"/>
        <v>3</v>
      </c>
      <c r="K47" s="48">
        <f t="shared" si="2"/>
        <v>3.6666666666666665</v>
      </c>
      <c r="L47" s="172">
        <f t="shared" si="29"/>
        <v>24</v>
      </c>
      <c r="M47" s="51">
        <f>IF(Use_BOM_DF,Weather_Site!H50,IF(0.191*(Weather_Site!K50+104)*(Weather_Site!J50+1)^1.5/(3.52*(Weather_Site!J50+1)^1.5+Weather_Site!I50-1)&gt;10, 10,0.191*(Weather_Site!K50+104)*(Weather_Site!J50+1)^1.5/(3.52*(Weather_Site!J50+1)^1.5+Weather_Site!I50-1)))</f>
        <v>7.882539682539683</v>
      </c>
      <c r="N47" s="51">
        <f t="shared" si="4"/>
        <v>19.558048219242966</v>
      </c>
      <c r="O47" s="52">
        <f t="shared" si="5"/>
        <v>563.27178871419733</v>
      </c>
      <c r="P47" s="52">
        <f t="shared" si="6"/>
        <v>435.44228534820093</v>
      </c>
      <c r="Q47" s="51">
        <f t="shared" si="7"/>
        <v>11.082533253284565</v>
      </c>
      <c r="R47" s="53">
        <f t="shared" si="8"/>
        <v>1542.7321022765589</v>
      </c>
      <c r="S47" s="53">
        <f t="shared" si="9"/>
        <v>5505.9703619556412</v>
      </c>
      <c r="T47" s="53">
        <f t="shared" si="10"/>
        <v>35187.657142857141</v>
      </c>
      <c r="U47" s="51">
        <f t="shared" si="11"/>
        <v>3.9585926711513824</v>
      </c>
      <c r="V47" s="52">
        <f t="shared" si="12"/>
        <v>3.6666666666666665</v>
      </c>
      <c r="W47" s="52">
        <f t="shared" si="13"/>
        <v>9.1666666666666679</v>
      </c>
      <c r="X47" s="51">
        <f t="shared" si="14"/>
        <v>15.119523796812535</v>
      </c>
      <c r="Y47" s="51">
        <f t="shared" si="15"/>
        <v>3.9506999999999994</v>
      </c>
      <c r="Z47" s="51" t="e">
        <f>IF(Use_BOM_DF,M47/10,MIN(0.972+(0.342*LN(Weather_Site!J50))-(0.245*LN(Weather_Site!I50)),1))</f>
        <v>#NUM!</v>
      </c>
      <c r="AA47" s="52" t="e">
        <f t="shared" si="16"/>
        <v>#NUM!</v>
      </c>
      <c r="AB47" s="52" t="e">
        <f t="shared" si="17"/>
        <v>#NUM!</v>
      </c>
      <c r="AC47" s="52" t="e">
        <f t="shared" si="18"/>
        <v>#NUM!</v>
      </c>
      <c r="AD47" s="51" t="e">
        <f t="shared" si="19"/>
        <v>#NUM!</v>
      </c>
      <c r="AE47" s="51" t="e">
        <f t="shared" si="20"/>
        <v>#NUM!</v>
      </c>
      <c r="AF47" s="53" t="e">
        <f t="shared" si="21"/>
        <v>#NUM!</v>
      </c>
      <c r="AG47" s="323">
        <f t="shared" si="22"/>
        <v>19.733180806709388</v>
      </c>
    </row>
    <row r="48" spans="1:33" x14ac:dyDescent="0.25">
      <c r="A48" s="45" t="str">
        <f>Weather_Site!A51</f>
        <v>Mon</v>
      </c>
      <c r="B48" s="46">
        <f>Weather_Site!B51</f>
        <v>44550</v>
      </c>
      <c r="C48" s="47">
        <f>Weather_Site!C51</f>
        <v>0.79166666666666663</v>
      </c>
      <c r="D48" s="48">
        <f>Weather_Site!D51</f>
        <v>29.1</v>
      </c>
      <c r="E48" s="48">
        <f>Weather_Site!E51</f>
        <v>16.2</v>
      </c>
      <c r="F48" s="49">
        <f>Weather_Site!F51</f>
        <v>208</v>
      </c>
      <c r="G48" s="48">
        <f>Weather_Site!G51</f>
        <v>10</v>
      </c>
      <c r="H48" s="48">
        <f>IF(Weather_Site!M51&lt;180,Weather_Site!M51+180,Weather_Site!M51-180)</f>
        <v>28</v>
      </c>
      <c r="I48" s="172">
        <f t="shared" si="27"/>
        <v>0</v>
      </c>
      <c r="J48" s="214">
        <f t="shared" si="28"/>
        <v>3</v>
      </c>
      <c r="K48" s="48">
        <f t="shared" si="2"/>
        <v>3.3333333333333335</v>
      </c>
      <c r="L48" s="172">
        <f t="shared" si="29"/>
        <v>24</v>
      </c>
      <c r="M48" s="51">
        <f>IF(Use_BOM_DF,Weather_Site!H51,IF(0.191*(Weather_Site!K51+104)*(Weather_Site!J51+1)^1.5/(3.52*(Weather_Site!J51+1)^1.5+Weather_Site!I51-1)&gt;10, 10,0.191*(Weather_Site!K51+104)*(Weather_Site!J51+1)^1.5/(3.52*(Weather_Site!J51+1)^1.5+Weather_Site!I51-1)))</f>
        <v>7.882539682539683</v>
      </c>
      <c r="N48" s="51">
        <f t="shared" si="4"/>
        <v>18.908978748877455</v>
      </c>
      <c r="O48" s="52">
        <f t="shared" si="5"/>
        <v>544.57858796767061</v>
      </c>
      <c r="P48" s="52">
        <f t="shared" si="6"/>
        <v>430.95870027194889</v>
      </c>
      <c r="Q48" s="51">
        <f t="shared" si="7"/>
        <v>10.839521643579719</v>
      </c>
      <c r="R48" s="53">
        <f t="shared" si="8"/>
        <v>1479.5864701547914</v>
      </c>
      <c r="S48" s="53">
        <f t="shared" si="9"/>
        <v>5323.2447020829677</v>
      </c>
      <c r="T48" s="53">
        <f t="shared" si="10"/>
        <v>35187.657142857141</v>
      </c>
      <c r="U48" s="51">
        <f t="shared" si="11"/>
        <v>3.9785155181434839</v>
      </c>
      <c r="V48" s="52">
        <f t="shared" si="12"/>
        <v>3.3333333333333335</v>
      </c>
      <c r="W48" s="52">
        <f t="shared" si="13"/>
        <v>8.3333333333333339</v>
      </c>
      <c r="X48" s="51">
        <f t="shared" si="14"/>
        <v>14.963843759442669</v>
      </c>
      <c r="Y48" s="51">
        <f t="shared" si="15"/>
        <v>3.9905999999999993</v>
      </c>
      <c r="Z48" s="51" t="e">
        <f>IF(Use_BOM_DF,M48/10,MIN(0.972+(0.342*LN(Weather_Site!J51))-(0.245*LN(Weather_Site!I51)),1))</f>
        <v>#NUM!</v>
      </c>
      <c r="AA48" s="52" t="e">
        <f t="shared" si="16"/>
        <v>#NUM!</v>
      </c>
      <c r="AB48" s="52" t="e">
        <f t="shared" si="17"/>
        <v>#NUM!</v>
      </c>
      <c r="AC48" s="52" t="e">
        <f t="shared" si="18"/>
        <v>#NUM!</v>
      </c>
      <c r="AD48" s="51" t="e">
        <f t="shared" si="19"/>
        <v>#NUM!</v>
      </c>
      <c r="AE48" s="51" t="e">
        <f t="shared" si="20"/>
        <v>#NUM!</v>
      </c>
      <c r="AF48" s="53" t="e">
        <f t="shared" si="21"/>
        <v>#NUM!</v>
      </c>
      <c r="AG48" s="323">
        <f t="shared" si="22"/>
        <v>19.074629017780605</v>
      </c>
    </row>
    <row r="49" spans="1:33" x14ac:dyDescent="0.25">
      <c r="A49" s="45" t="str">
        <f>Weather_Site!A52</f>
        <v>Mon</v>
      </c>
      <c r="B49" s="46">
        <f>Weather_Site!B52</f>
        <v>44550</v>
      </c>
      <c r="C49" s="47">
        <f>Weather_Site!C52</f>
        <v>0.83333333333333337</v>
      </c>
      <c r="D49" s="48">
        <f>Weather_Site!D52</f>
        <v>28.3</v>
      </c>
      <c r="E49" s="48">
        <f>Weather_Site!E52</f>
        <v>17.7</v>
      </c>
      <c r="F49" s="49">
        <f>Weather_Site!F52</f>
        <v>202</v>
      </c>
      <c r="G49" s="48">
        <f>Weather_Site!G52</f>
        <v>8</v>
      </c>
      <c r="H49" s="48">
        <f>IF(Weather_Site!M52&lt;180,Weather_Site!M52+180,Weather_Site!M52-180)</f>
        <v>22</v>
      </c>
      <c r="I49" s="172">
        <f t="shared" si="27"/>
        <v>0</v>
      </c>
      <c r="J49" s="214">
        <f t="shared" si="28"/>
        <v>3</v>
      </c>
      <c r="K49" s="48">
        <f t="shared" si="2"/>
        <v>2.6666666666666665</v>
      </c>
      <c r="L49" s="172">
        <f t="shared" si="29"/>
        <v>24</v>
      </c>
      <c r="M49" s="51">
        <f>IF(Use_BOM_DF,Weather_Site!H52,IF(0.191*(Weather_Site!K52+104)*(Weather_Site!J52+1)^1.5/(3.52*(Weather_Site!J52+1)^1.5+Weather_Site!I52-1)&gt;10, 10,0.191*(Weather_Site!K52+104)*(Weather_Site!J52+1)^1.5/(3.52*(Weather_Site!J52+1)^1.5+Weather_Site!I52-1)))</f>
        <v>7.882539682539683</v>
      </c>
      <c r="N49" s="51">
        <f t="shared" si="4"/>
        <v>16.677272682789194</v>
      </c>
      <c r="O49" s="52">
        <f t="shared" si="5"/>
        <v>480.30545326432872</v>
      </c>
      <c r="P49" s="52">
        <f t="shared" si="6"/>
        <v>398.30668045909346</v>
      </c>
      <c r="Q49" s="51">
        <f t="shared" si="7"/>
        <v>10.003970892436273</v>
      </c>
      <c r="R49" s="53">
        <f t="shared" si="8"/>
        <v>1262.4718211269026</v>
      </c>
      <c r="S49" s="53">
        <f t="shared" si="9"/>
        <v>4694.976108062996</v>
      </c>
      <c r="T49" s="53">
        <f t="shared" si="10"/>
        <v>35187.657142857141</v>
      </c>
      <c r="U49" s="51">
        <f t="shared" si="11"/>
        <v>4.0988499576489907</v>
      </c>
      <c r="V49" s="52">
        <f t="shared" si="12"/>
        <v>2.6666666666666665</v>
      </c>
      <c r="W49" s="52">
        <f t="shared" si="13"/>
        <v>6.666666666666667</v>
      </c>
      <c r="X49" s="51">
        <f t="shared" si="14"/>
        <v>13.8300930714963</v>
      </c>
      <c r="Y49" s="51">
        <f t="shared" si="15"/>
        <v>4.3260999999999994</v>
      </c>
      <c r="Z49" s="51" t="e">
        <f>IF(Use_BOM_DF,M49/10,MIN(0.972+(0.342*LN(Weather_Site!J52))-(0.245*LN(Weather_Site!I52)),1))</f>
        <v>#NUM!</v>
      </c>
      <c r="AA49" s="52" t="e">
        <f t="shared" si="16"/>
        <v>#NUM!</v>
      </c>
      <c r="AB49" s="52" t="e">
        <f t="shared" si="17"/>
        <v>#NUM!</v>
      </c>
      <c r="AC49" s="52" t="e">
        <f t="shared" si="18"/>
        <v>#NUM!</v>
      </c>
      <c r="AD49" s="51" t="e">
        <f t="shared" si="19"/>
        <v>#NUM!</v>
      </c>
      <c r="AE49" s="51" t="e">
        <f t="shared" si="20"/>
        <v>#NUM!</v>
      </c>
      <c r="AF49" s="53" t="e">
        <f t="shared" si="21"/>
        <v>#NUM!</v>
      </c>
      <c r="AG49" s="323">
        <f t="shared" si="22"/>
        <v>17.098385047503399</v>
      </c>
    </row>
    <row r="50" spans="1:33" x14ac:dyDescent="0.25">
      <c r="A50" s="23" t="str">
        <f>Weather_Site!A53</f>
        <v>Mon</v>
      </c>
      <c r="B50" s="24">
        <f>Weather_Site!B53</f>
        <v>44550</v>
      </c>
      <c r="C50" s="25">
        <f>Weather_Site!C53</f>
        <v>0.875</v>
      </c>
      <c r="D50" s="27">
        <f>Weather_Site!D53</f>
        <v>25.4</v>
      </c>
      <c r="E50" s="27">
        <f>Weather_Site!E53</f>
        <v>26.2</v>
      </c>
      <c r="F50" s="28">
        <f>Weather_Site!F53</f>
        <v>207</v>
      </c>
      <c r="G50" s="27">
        <f>Weather_Site!G53</f>
        <v>6</v>
      </c>
      <c r="H50" s="27">
        <f>IF(Weather_Site!M53&lt;180,Weather_Site!M53+180,Weather_Site!M53-180)</f>
        <v>27</v>
      </c>
      <c r="I50" s="172">
        <f t="shared" si="27"/>
        <v>0</v>
      </c>
      <c r="J50" s="214">
        <f t="shared" si="28"/>
        <v>3</v>
      </c>
      <c r="K50" s="27">
        <f t="shared" si="2"/>
        <v>2</v>
      </c>
      <c r="L50" s="172">
        <f t="shared" si="29"/>
        <v>24</v>
      </c>
      <c r="M50" s="32">
        <f>IF(Use_BOM_DF,Weather_Site!H53,IF(0.191*(Weather_Site!K53+104)*(Weather_Site!J53+1)^1.5/(3.52*(Weather_Site!J53+1)^1.5+Weather_Site!I53-1)&gt;10, 10,0.191*(Weather_Site!K53+104)*(Weather_Site!J53+1)^1.5/(3.52*(Weather_Site!J53+1)^1.5+Weather_Site!I53-1)))</f>
        <v>7.882539682539683</v>
      </c>
      <c r="N50" s="32">
        <f t="shared" si="4"/>
        <v>10.76152071712897</v>
      </c>
      <c r="O50" s="33">
        <f t="shared" si="5"/>
        <v>309.93179665331434</v>
      </c>
      <c r="P50" s="33">
        <f t="shared" si="6"/>
        <v>269.33400468104082</v>
      </c>
      <c r="Q50" s="32">
        <f t="shared" si="7"/>
        <v>7.7891133564930861</v>
      </c>
      <c r="R50" s="42">
        <f t="shared" si="8"/>
        <v>686.94960909489578</v>
      </c>
      <c r="S50" s="42">
        <f t="shared" si="9"/>
        <v>3029.5770546155868</v>
      </c>
      <c r="T50" s="42">
        <f t="shared" si="10"/>
        <v>35187.657142857141</v>
      </c>
      <c r="U50" s="32">
        <f t="shared" si="11"/>
        <v>4.8569098528052601</v>
      </c>
      <c r="V50" s="33">
        <f t="shared" si="12"/>
        <v>2</v>
      </c>
      <c r="W50" s="33">
        <f t="shared" si="13"/>
        <v>5</v>
      </c>
      <c r="X50" s="32">
        <f t="shared" si="14"/>
        <v>9.3518751625361425</v>
      </c>
      <c r="Y50" s="32">
        <f t="shared" si="15"/>
        <v>5.9496000000000002</v>
      </c>
      <c r="Z50" s="266" t="e">
        <f>IF(Use_BOM_DF,M50/10,MIN(0.972+(0.342*LN(Weather_Site!J53))-(0.245*LN(Weather_Site!I53)),1))</f>
        <v>#NUM!</v>
      </c>
      <c r="AA50" s="33" t="e">
        <f t="shared" si="16"/>
        <v>#NUM!</v>
      </c>
      <c r="AB50" s="33" t="e">
        <f t="shared" si="17"/>
        <v>#NUM!</v>
      </c>
      <c r="AC50" s="33" t="e">
        <f t="shared" si="18"/>
        <v>#NUM!</v>
      </c>
      <c r="AD50" s="32" t="e">
        <f t="shared" si="19"/>
        <v>#NUM!</v>
      </c>
      <c r="AE50" s="32" t="e">
        <f t="shared" si="20"/>
        <v>#NUM!</v>
      </c>
      <c r="AF50" s="42" t="e">
        <f t="shared" si="21"/>
        <v>#NUM!</v>
      </c>
      <c r="AG50" s="83">
        <f t="shared" si="22"/>
        <v>11.425211941793714</v>
      </c>
    </row>
    <row r="51" spans="1:33" x14ac:dyDescent="0.25">
      <c r="A51" s="23" t="str">
        <f>Weather_Site!A54</f>
        <v>Mon</v>
      </c>
      <c r="B51" s="24">
        <f>Weather_Site!B54</f>
        <v>44550</v>
      </c>
      <c r="C51" s="25">
        <f>Weather_Site!C54</f>
        <v>0.91666666666666663</v>
      </c>
      <c r="D51" s="27">
        <f>Weather_Site!D54</f>
        <v>22.8</v>
      </c>
      <c r="E51" s="27">
        <f>Weather_Site!E54</f>
        <v>30.8</v>
      </c>
      <c r="F51" s="28">
        <f>Weather_Site!F54</f>
        <v>197</v>
      </c>
      <c r="G51" s="27">
        <f>Weather_Site!G54</f>
        <v>6</v>
      </c>
      <c r="H51" s="27">
        <f>IF(Weather_Site!M54&lt;180,Weather_Site!M54+180,Weather_Site!M54-180)</f>
        <v>17</v>
      </c>
      <c r="I51" s="172">
        <f t="shared" si="27"/>
        <v>0</v>
      </c>
      <c r="J51" s="214">
        <f t="shared" si="28"/>
        <v>3</v>
      </c>
      <c r="K51" s="27">
        <f t="shared" si="2"/>
        <v>2</v>
      </c>
      <c r="L51" s="172">
        <f t="shared" si="29"/>
        <v>24</v>
      </c>
      <c r="M51" s="32">
        <f>IF(Use_BOM_DF,Weather_Site!H54,IF(0.191*(Weather_Site!K54+104)*(Weather_Site!J54+1)^1.5/(3.52*(Weather_Site!J54+1)^1.5+Weather_Site!I54-1)&gt;10, 10,0.191*(Weather_Site!K54+104)*(Weather_Site!J54+1)^1.5/(3.52*(Weather_Site!J54+1)^1.5+Weather_Site!I54-1)))</f>
        <v>7.882539682539683</v>
      </c>
      <c r="N51" s="32">
        <f t="shared" si="4"/>
        <v>8.4097931279041997</v>
      </c>
      <c r="O51" s="33">
        <f t="shared" si="5"/>
        <v>242.20204208364095</v>
      </c>
      <c r="P51" s="33">
        <f t="shared" si="6"/>
        <v>210.47613262243647</v>
      </c>
      <c r="Q51" s="32">
        <f t="shared" si="7"/>
        <v>6.9086265470873318</v>
      </c>
      <c r="R51" s="42">
        <f t="shared" si="8"/>
        <v>458.15849815853915</v>
      </c>
      <c r="S51" s="42">
        <f t="shared" si="9"/>
        <v>2367.520071193027</v>
      </c>
      <c r="T51" s="42">
        <f t="shared" si="10"/>
        <v>35187.657142857141</v>
      </c>
      <c r="U51" s="32">
        <f t="shared" si="11"/>
        <v>5.4172360013672654</v>
      </c>
      <c r="V51" s="33">
        <f t="shared" si="12"/>
        <v>2</v>
      </c>
      <c r="W51" s="33">
        <f t="shared" si="13"/>
        <v>5</v>
      </c>
      <c r="X51" s="32">
        <f t="shared" si="14"/>
        <v>7.3081990493901561</v>
      </c>
      <c r="Y51" s="32">
        <f t="shared" si="15"/>
        <v>7.0034000000000001</v>
      </c>
      <c r="Z51" s="266" t="e">
        <f>IF(Use_BOM_DF,M51/10,MIN(0.972+(0.342*LN(Weather_Site!J54))-(0.245*LN(Weather_Site!I54)),1))</f>
        <v>#NUM!</v>
      </c>
      <c r="AA51" s="33" t="e">
        <f t="shared" si="16"/>
        <v>#NUM!</v>
      </c>
      <c r="AB51" s="33" t="e">
        <f t="shared" si="17"/>
        <v>#NUM!</v>
      </c>
      <c r="AC51" s="33" t="e">
        <f t="shared" si="18"/>
        <v>#NUM!</v>
      </c>
      <c r="AD51" s="32" t="e">
        <f t="shared" si="19"/>
        <v>#NUM!</v>
      </c>
      <c r="AE51" s="32" t="e">
        <f t="shared" si="20"/>
        <v>#NUM!</v>
      </c>
      <c r="AF51" s="42" t="e">
        <f t="shared" si="21"/>
        <v>#NUM!</v>
      </c>
      <c r="AG51" s="83">
        <f t="shared" si="22"/>
        <v>9.0842079524810107</v>
      </c>
    </row>
    <row r="52" spans="1:33" x14ac:dyDescent="0.25">
      <c r="A52" s="23" t="str">
        <f>Weather_Site!A55</f>
        <v>Mon</v>
      </c>
      <c r="B52" s="24">
        <f>Weather_Site!B55</f>
        <v>44550</v>
      </c>
      <c r="C52" s="25">
        <f>Weather_Site!C55</f>
        <v>0.95833333333333337</v>
      </c>
      <c r="D52" s="27">
        <f>Weather_Site!D55</f>
        <v>20.9</v>
      </c>
      <c r="E52" s="27">
        <f>Weather_Site!E55</f>
        <v>34.9</v>
      </c>
      <c r="F52" s="28">
        <f>Weather_Site!F55</f>
        <v>188</v>
      </c>
      <c r="G52" s="27">
        <f>Weather_Site!G55</f>
        <v>5</v>
      </c>
      <c r="H52" s="27">
        <f>IF(Weather_Site!M55&lt;180,Weather_Site!M55+180,Weather_Site!M55-180)</f>
        <v>8</v>
      </c>
      <c r="I52" s="172">
        <f t="shared" si="27"/>
        <v>0</v>
      </c>
      <c r="J52" s="214">
        <f t="shared" si="28"/>
        <v>3</v>
      </c>
      <c r="K52" s="27">
        <f t="shared" si="2"/>
        <v>1.6666666666666667</v>
      </c>
      <c r="L52" s="172">
        <f t="shared" si="29"/>
        <v>24</v>
      </c>
      <c r="M52" s="32">
        <f>IF(Use_BOM_DF,Weather_Site!H55,IF(0.191*(Weather_Site!K55+104)*(Weather_Site!J55+1)^1.5/(3.52*(Weather_Site!J55+1)^1.5+Weather_Site!I55-1)&gt;10, 10,0.191*(Weather_Site!K55+104)*(Weather_Site!J55+1)^1.5/(3.52*(Weather_Site!J55+1)^1.5+Weather_Site!I55-1)))</f>
        <v>7.882539682539683</v>
      </c>
      <c r="N52" s="32">
        <f t="shared" si="4"/>
        <v>6.6880802534933395</v>
      </c>
      <c r="O52" s="33">
        <f t="shared" si="5"/>
        <v>192.61671130060816</v>
      </c>
      <c r="P52" s="33">
        <f t="shared" si="6"/>
        <v>171.34897432885253</v>
      </c>
      <c r="Q52" s="32">
        <f t="shared" si="7"/>
        <v>6.2640172469079065</v>
      </c>
      <c r="R52" s="42">
        <f t="shared" si="8"/>
        <v>290.65925077345435</v>
      </c>
      <c r="S52" s="42">
        <f t="shared" si="9"/>
        <v>1882.8244639403217</v>
      </c>
      <c r="T52" s="42">
        <f t="shared" si="10"/>
        <v>35187.657142857141</v>
      </c>
      <c r="U52" s="32">
        <f t="shared" si="11"/>
        <v>5.9820114795955561</v>
      </c>
      <c r="V52" s="33">
        <f t="shared" si="12"/>
        <v>1.6666666666666667</v>
      </c>
      <c r="W52" s="33">
        <f t="shared" si="13"/>
        <v>4.166666666666667</v>
      </c>
      <c r="X52" s="32">
        <f t="shared" si="14"/>
        <v>5.9496171641962698</v>
      </c>
      <c r="Y52" s="32">
        <f t="shared" si="15"/>
        <v>7.8717000000000006</v>
      </c>
      <c r="Z52" s="266" t="e">
        <f>IF(Use_BOM_DF,M52/10,MIN(0.972+(0.342*LN(Weather_Site!J55))-(0.245*LN(Weather_Site!I55)),1))</f>
        <v>#NUM!</v>
      </c>
      <c r="AA52" s="33" t="e">
        <f t="shared" si="16"/>
        <v>#NUM!</v>
      </c>
      <c r="AB52" s="33" t="e">
        <f t="shared" si="17"/>
        <v>#NUM!</v>
      </c>
      <c r="AC52" s="33" t="e">
        <f t="shared" si="18"/>
        <v>#NUM!</v>
      </c>
      <c r="AD52" s="32" t="e">
        <f t="shared" si="19"/>
        <v>#NUM!</v>
      </c>
      <c r="AE52" s="32" t="e">
        <f t="shared" si="20"/>
        <v>#NUM!</v>
      </c>
      <c r="AF52" s="42" t="e">
        <f t="shared" si="21"/>
        <v>#NUM!</v>
      </c>
      <c r="AG52" s="83">
        <f t="shared" si="22"/>
        <v>7.2057411273443144</v>
      </c>
    </row>
    <row r="53" spans="1:33" x14ac:dyDescent="0.25">
      <c r="A53" s="23" t="str">
        <f>Weather_Site!A56</f>
        <v>Tue</v>
      </c>
      <c r="B53" s="24">
        <f>Weather_Site!B56</f>
        <v>44551</v>
      </c>
      <c r="C53" s="25">
        <f>Weather_Site!C56</f>
        <v>0</v>
      </c>
      <c r="D53" s="27">
        <f>Weather_Site!D56</f>
        <v>19.899999999999999</v>
      </c>
      <c r="E53" s="27">
        <f>Weather_Site!E56</f>
        <v>38.4</v>
      </c>
      <c r="F53" s="28">
        <f>Weather_Site!F56</f>
        <v>190</v>
      </c>
      <c r="G53" s="27">
        <f>Weather_Site!G56</f>
        <v>5</v>
      </c>
      <c r="H53" s="27">
        <f>IF(Weather_Site!M56&lt;180,Weather_Site!M56+180,Weather_Site!M56-180)</f>
        <v>10</v>
      </c>
      <c r="I53" s="172">
        <f t="shared" si="27"/>
        <v>0</v>
      </c>
      <c r="J53" s="214">
        <f t="shared" si="28"/>
        <v>3</v>
      </c>
      <c r="K53" s="27">
        <f t="shared" si="2"/>
        <v>1.6666666666666667</v>
      </c>
      <c r="L53" s="172">
        <f t="shared" si="29"/>
        <v>24</v>
      </c>
      <c r="M53" s="32">
        <f>IF(Use_BOM_DF,Weather_Site!H56,IF(0.191*(Weather_Site!K56+104)*(Weather_Site!J56+1)^1.5/(3.52*(Weather_Site!J56+1)^1.5+Weather_Site!I56-1)&gt;10, 10,0.191*(Weather_Site!K56+104)*(Weather_Site!J56+1)^1.5/(3.52*(Weather_Site!J56+1)^1.5+Weather_Site!I56-1)))</f>
        <v>7.882539682539683</v>
      </c>
      <c r="N53" s="32">
        <f t="shared" si="4"/>
        <v>5.7303515153910061</v>
      </c>
      <c r="O53" s="33">
        <f t="shared" si="5"/>
        <v>165.03412364326098</v>
      </c>
      <c r="P53" s="33">
        <f t="shared" si="6"/>
        <v>146.81191275974459</v>
      </c>
      <c r="Q53" s="32">
        <f t="shared" si="7"/>
        <v>5.9054436073623933</v>
      </c>
      <c r="R53" s="42">
        <f t="shared" si="8"/>
        <v>197.48526966693558</v>
      </c>
      <c r="S53" s="42">
        <f t="shared" si="9"/>
        <v>1613.2052264953322</v>
      </c>
      <c r="T53" s="42">
        <f t="shared" si="10"/>
        <v>35187.657142857141</v>
      </c>
      <c r="U53" s="32">
        <f t="shared" si="11"/>
        <v>6.4855857773383256</v>
      </c>
      <c r="V53" s="33">
        <f t="shared" si="12"/>
        <v>1.6666666666666667</v>
      </c>
      <c r="W53" s="33">
        <f t="shared" si="13"/>
        <v>4.166666666666667</v>
      </c>
      <c r="X53" s="32">
        <f t="shared" si="14"/>
        <v>5.0976358597133542</v>
      </c>
      <c r="Y53" s="32">
        <f t="shared" si="15"/>
        <v>11.208000000000002</v>
      </c>
      <c r="Z53" s="266" t="e">
        <f>IF(Use_BOM_DF,M53/10,MIN(0.972+(0.342*LN(Weather_Site!J56))-(0.245*LN(Weather_Site!I56)),1))</f>
        <v>#NUM!</v>
      </c>
      <c r="AA53" s="33" t="e">
        <f t="shared" si="16"/>
        <v>#NUM!</v>
      </c>
      <c r="AB53" s="33" t="e">
        <f t="shared" si="17"/>
        <v>#NUM!</v>
      </c>
      <c r="AC53" s="33" t="e">
        <f t="shared" si="18"/>
        <v>#NUM!</v>
      </c>
      <c r="AD53" s="32" t="e">
        <f t="shared" si="19"/>
        <v>#NUM!</v>
      </c>
      <c r="AE53" s="32" t="e">
        <f t="shared" si="20"/>
        <v>#NUM!</v>
      </c>
      <c r="AF53" s="42" t="e">
        <f t="shared" si="21"/>
        <v>#NUM!</v>
      </c>
      <c r="AG53" s="83">
        <f t="shared" si="22"/>
        <v>6.0808533261898248</v>
      </c>
    </row>
    <row r="54" spans="1:33" x14ac:dyDescent="0.25">
      <c r="A54" s="23" t="str">
        <f>Weather_Site!A57</f>
        <v>Tue</v>
      </c>
      <c r="B54" s="24">
        <f>Weather_Site!B57</f>
        <v>44551</v>
      </c>
      <c r="C54" s="25">
        <f>Weather_Site!C57</f>
        <v>4.1666666666666664E-2</v>
      </c>
      <c r="D54" s="27">
        <f>Weather_Site!D57</f>
        <v>18.5</v>
      </c>
      <c r="E54" s="27">
        <f>Weather_Site!E57</f>
        <v>42.5</v>
      </c>
      <c r="F54" s="28">
        <f>Weather_Site!F57</f>
        <v>267</v>
      </c>
      <c r="G54" s="27">
        <f>Weather_Site!G57</f>
        <v>6</v>
      </c>
      <c r="H54" s="27">
        <f>IF(Weather_Site!M57&lt;180,Weather_Site!M57+180,Weather_Site!M57-180)</f>
        <v>87</v>
      </c>
      <c r="I54" s="172">
        <f t="shared" si="27"/>
        <v>0</v>
      </c>
      <c r="J54" s="214">
        <f t="shared" si="28"/>
        <v>3</v>
      </c>
      <c r="K54" s="27">
        <f t="shared" si="2"/>
        <v>2</v>
      </c>
      <c r="L54" s="172">
        <f t="shared" si="29"/>
        <v>24</v>
      </c>
      <c r="M54" s="32">
        <f>IF(Use_BOM_DF,Weather_Site!H57,IF(0.191*(Weather_Site!K57+104)*(Weather_Site!J57+1)^1.5/(3.52*(Weather_Site!J57+1)^1.5+Weather_Site!I57-1)&gt;10, 10,0.191*(Weather_Site!K57+104)*(Weather_Site!J57+1)^1.5/(3.52*(Weather_Site!J57+1)^1.5+Weather_Site!I57-1)))</f>
        <v>7.882539682539683</v>
      </c>
      <c r="N54" s="32">
        <f t="shared" si="4"/>
        <v>4.856931574929984</v>
      </c>
      <c r="O54" s="33">
        <f t="shared" si="5"/>
        <v>139.8796293579835</v>
      </c>
      <c r="P54" s="33">
        <f t="shared" si="6"/>
        <v>121.55687527094042</v>
      </c>
      <c r="Q54" s="32">
        <f t="shared" si="7"/>
        <v>5.5784351816537852</v>
      </c>
      <c r="R54" s="42">
        <f t="shared" si="8"/>
        <v>112.51338797126832</v>
      </c>
      <c r="S54" s="42">
        <f t="shared" si="9"/>
        <v>1367.320552737963</v>
      </c>
      <c r="T54" s="42">
        <f t="shared" si="10"/>
        <v>35187.657142857141</v>
      </c>
      <c r="U54" s="32">
        <f t="shared" si="11"/>
        <v>7.1738199672770211</v>
      </c>
      <c r="V54" s="33">
        <f t="shared" si="12"/>
        <v>2</v>
      </c>
      <c r="W54" s="33">
        <f t="shared" si="13"/>
        <v>5</v>
      </c>
      <c r="X54" s="32">
        <f t="shared" si="14"/>
        <v>4.2207248357965428</v>
      </c>
      <c r="Y54" s="32">
        <f t="shared" si="15"/>
        <v>12.062000000000001</v>
      </c>
      <c r="Z54" s="266" t="e">
        <f>IF(Use_BOM_DF,M54/10,MIN(0.972+(0.342*LN(Weather_Site!J57))-(0.245*LN(Weather_Site!I57)),1))</f>
        <v>#NUM!</v>
      </c>
      <c r="AA54" s="33" t="e">
        <f t="shared" si="16"/>
        <v>#NUM!</v>
      </c>
      <c r="AB54" s="33" t="e">
        <f t="shared" si="17"/>
        <v>#NUM!</v>
      </c>
      <c r="AC54" s="33" t="e">
        <f t="shared" si="18"/>
        <v>#NUM!</v>
      </c>
      <c r="AD54" s="32" t="e">
        <f t="shared" si="19"/>
        <v>#NUM!</v>
      </c>
      <c r="AE54" s="32" t="e">
        <f t="shared" si="20"/>
        <v>#NUM!</v>
      </c>
      <c r="AF54" s="42" t="e">
        <f t="shared" si="21"/>
        <v>#NUM!</v>
      </c>
      <c r="AG54" s="83">
        <f t="shared" si="22"/>
        <v>5.0366800149878621</v>
      </c>
    </row>
    <row r="55" spans="1:33" x14ac:dyDescent="0.25">
      <c r="A55" s="45" t="str">
        <f>Weather_Site!A58</f>
        <v>Tue</v>
      </c>
      <c r="B55" s="46">
        <f>Weather_Site!B58</f>
        <v>44551</v>
      </c>
      <c r="C55" s="47">
        <f>Weather_Site!C58</f>
        <v>8.3333333333333329E-2</v>
      </c>
      <c r="D55" s="48">
        <f>Weather_Site!D58</f>
        <v>17.2</v>
      </c>
      <c r="E55" s="48">
        <f>Weather_Site!E58</f>
        <v>47.4</v>
      </c>
      <c r="F55" s="49">
        <f>Weather_Site!F58</f>
        <v>245</v>
      </c>
      <c r="G55" s="48">
        <f>Weather_Site!G58</f>
        <v>6</v>
      </c>
      <c r="H55" s="48">
        <f>IF(Weather_Site!M58&lt;180,Weather_Site!M58+180,Weather_Site!M58-180)</f>
        <v>65</v>
      </c>
      <c r="I55" s="172">
        <f t="shared" si="27"/>
        <v>0</v>
      </c>
      <c r="J55" s="214">
        <f t="shared" si="28"/>
        <v>3</v>
      </c>
      <c r="K55" s="48">
        <f t="shared" si="2"/>
        <v>2</v>
      </c>
      <c r="L55" s="172">
        <f t="shared" si="29"/>
        <v>24</v>
      </c>
      <c r="M55" s="51">
        <f>IF(Use_BOM_DF,Weather_Site!H58,IF(0.191*(Weather_Site!K58+104)*(Weather_Site!J58+1)^1.5/(3.52*(Weather_Site!J58+1)^1.5+Weather_Site!I58-1)&gt;10, 10,0.191*(Weather_Site!K58+104)*(Weather_Site!J58+1)^1.5/(3.52*(Weather_Site!J58+1)^1.5+Weather_Site!I58-1)))</f>
        <v>7.882539682539683</v>
      </c>
      <c r="N55" s="51">
        <f t="shared" si="4"/>
        <v>3.9251983121070717</v>
      </c>
      <c r="O55" s="52">
        <f t="shared" si="5"/>
        <v>113.04571138868366</v>
      </c>
      <c r="P55" s="52">
        <f t="shared" si="6"/>
        <v>98.237917145329249</v>
      </c>
      <c r="Q55" s="51">
        <f t="shared" si="7"/>
        <v>5.2295942480528872</v>
      </c>
      <c r="R55" s="53">
        <f t="shared" si="8"/>
        <v>21.868413070973425</v>
      </c>
      <c r="S55" s="53">
        <f t="shared" si="9"/>
        <v>1105.0195463776386</v>
      </c>
      <c r="T55" s="53">
        <f t="shared" si="10"/>
        <v>35187.657142857141</v>
      </c>
      <c r="U55" s="51">
        <f t="shared" si="11"/>
        <v>8.0857350884653112</v>
      </c>
      <c r="V55" s="52">
        <f t="shared" si="12"/>
        <v>2</v>
      </c>
      <c r="W55" s="52">
        <f t="shared" si="13"/>
        <v>5</v>
      </c>
      <c r="X55" s="51">
        <f t="shared" si="14"/>
        <v>3.4110387897683765</v>
      </c>
      <c r="Y55" s="51">
        <f t="shared" si="15"/>
        <v>12.977399999999999</v>
      </c>
      <c r="Z55" s="51" t="e">
        <f>IF(Use_BOM_DF,M55/10,MIN(0.972+(0.342*LN(Weather_Site!J58))-(0.245*LN(Weather_Site!I58)),1))</f>
        <v>#NUM!</v>
      </c>
      <c r="AA55" s="52" t="e">
        <f t="shared" si="16"/>
        <v>#NUM!</v>
      </c>
      <c r="AB55" s="52" t="e">
        <f t="shared" si="17"/>
        <v>#NUM!</v>
      </c>
      <c r="AC55" s="52" t="e">
        <f t="shared" si="18"/>
        <v>#NUM!</v>
      </c>
      <c r="AD55" s="51" t="e">
        <f t="shared" si="19"/>
        <v>#NUM!</v>
      </c>
      <c r="AE55" s="51" t="e">
        <f t="shared" si="20"/>
        <v>#NUM!</v>
      </c>
      <c r="AF55" s="53" t="e">
        <f t="shared" si="21"/>
        <v>#NUM!</v>
      </c>
      <c r="AG55" s="323">
        <f t="shared" si="22"/>
        <v>3.9175034453025686</v>
      </c>
    </row>
    <row r="56" spans="1:33" x14ac:dyDescent="0.25">
      <c r="A56" s="45" t="str">
        <f>Weather_Site!A59</f>
        <v>Tue</v>
      </c>
      <c r="B56" s="46">
        <f>Weather_Site!B59</f>
        <v>44551</v>
      </c>
      <c r="C56" s="47">
        <f>Weather_Site!C59</f>
        <v>0.125</v>
      </c>
      <c r="D56" s="48">
        <f>Weather_Site!D59</f>
        <v>16.3</v>
      </c>
      <c r="E56" s="48">
        <f>Weather_Site!E59</f>
        <v>50.2</v>
      </c>
      <c r="F56" s="49">
        <f>Weather_Site!F59</f>
        <v>226</v>
      </c>
      <c r="G56" s="48">
        <f>Weather_Site!G59</f>
        <v>6</v>
      </c>
      <c r="H56" s="48">
        <f>IF(Weather_Site!M59&lt;180,Weather_Site!M59+180,Weather_Site!M59-180)</f>
        <v>46</v>
      </c>
      <c r="I56" s="172">
        <f t="shared" si="27"/>
        <v>0</v>
      </c>
      <c r="J56" s="214">
        <f t="shared" si="28"/>
        <v>3</v>
      </c>
      <c r="K56" s="48">
        <f t="shared" si="2"/>
        <v>2</v>
      </c>
      <c r="L56" s="172">
        <f t="shared" si="29"/>
        <v>24</v>
      </c>
      <c r="M56" s="51">
        <f>IF(Use_BOM_DF,Weather_Site!H59,IF(0.191*(Weather_Site!K59+104)*(Weather_Site!J59+1)^1.5/(3.52*(Weather_Site!J59+1)^1.5+Weather_Site!I59-1)&gt;10, 10,0.191*(Weather_Site!K59+104)*(Weather_Site!J59+1)^1.5/(3.52*(Weather_Site!J59+1)^1.5+Weather_Site!I59-1)))</f>
        <v>7.882539682539683</v>
      </c>
      <c r="N56" s="51">
        <f t="shared" si="4"/>
        <v>3.4569851846991275</v>
      </c>
      <c r="O56" s="52">
        <f t="shared" si="5"/>
        <v>99.56117331933487</v>
      </c>
      <c r="P56" s="52">
        <f t="shared" si="6"/>
        <v>86.519711144174096</v>
      </c>
      <c r="Q56" s="51">
        <f t="shared" si="7"/>
        <v>5.054295253151353</v>
      </c>
      <c r="R56" s="53">
        <f t="shared" si="8"/>
        <v>0</v>
      </c>
      <c r="S56" s="53">
        <f t="shared" si="9"/>
        <v>973.20845900899917</v>
      </c>
      <c r="T56" s="53">
        <f t="shared" si="10"/>
        <v>35187.657142857141</v>
      </c>
      <c r="U56" s="51">
        <f t="shared" si="11"/>
        <v>8.6971393802936472</v>
      </c>
      <c r="V56" s="52">
        <f t="shared" si="12"/>
        <v>2</v>
      </c>
      <c r="W56" s="52">
        <f t="shared" si="13"/>
        <v>5</v>
      </c>
      <c r="X56" s="51">
        <f t="shared" si="14"/>
        <v>3.0041566369504897</v>
      </c>
      <c r="Y56" s="51">
        <f t="shared" si="15"/>
        <v>13.544800000000002</v>
      </c>
      <c r="Z56" s="51" t="e">
        <f>IF(Use_BOM_DF,M56/10,MIN(0.972+(0.342*LN(Weather_Site!J59))-(0.245*LN(Weather_Site!I59)),1))</f>
        <v>#NUM!</v>
      </c>
      <c r="AA56" s="52" t="e">
        <f t="shared" si="16"/>
        <v>#NUM!</v>
      </c>
      <c r="AB56" s="52" t="e">
        <f t="shared" si="17"/>
        <v>#NUM!</v>
      </c>
      <c r="AC56" s="52" t="e">
        <f t="shared" si="18"/>
        <v>#NUM!</v>
      </c>
      <c r="AD56" s="51" t="e">
        <f t="shared" si="19"/>
        <v>#NUM!</v>
      </c>
      <c r="AE56" s="51" t="e">
        <f t="shared" si="20"/>
        <v>#NUM!</v>
      </c>
      <c r="AF56" s="53" t="e">
        <f t="shared" si="21"/>
        <v>#NUM!</v>
      </c>
      <c r="AG56" s="323">
        <f t="shared" si="22"/>
        <v>3.3614747370956355</v>
      </c>
    </row>
    <row r="57" spans="1:33" x14ac:dyDescent="0.25">
      <c r="A57" s="45" t="str">
        <f>Weather_Site!A60</f>
        <v>Tue</v>
      </c>
      <c r="B57" s="46">
        <f>Weather_Site!B60</f>
        <v>44551</v>
      </c>
      <c r="C57" s="47">
        <f>Weather_Site!C60</f>
        <v>0.16666666666666666</v>
      </c>
      <c r="D57" s="48">
        <f>Weather_Site!D60</f>
        <v>15.5</v>
      </c>
      <c r="E57" s="48">
        <f>Weather_Site!E60</f>
        <v>54.3</v>
      </c>
      <c r="F57" s="49">
        <f>Weather_Site!F60</f>
        <v>216</v>
      </c>
      <c r="G57" s="48">
        <f>Weather_Site!G60</f>
        <v>6</v>
      </c>
      <c r="H57" s="48">
        <f>IF(Weather_Site!M60&lt;180,Weather_Site!M60+180,Weather_Site!M60-180)</f>
        <v>36</v>
      </c>
      <c r="I57" s="172">
        <f t="shared" si="27"/>
        <v>0</v>
      </c>
      <c r="J57" s="214">
        <f t="shared" si="28"/>
        <v>3</v>
      </c>
      <c r="K57" s="48">
        <f t="shared" si="2"/>
        <v>2</v>
      </c>
      <c r="L57" s="172">
        <f t="shared" si="29"/>
        <v>24</v>
      </c>
      <c r="M57" s="51">
        <f>IF(Use_BOM_DF,Weather_Site!H60,IF(0.191*(Weather_Site!K60+104)*(Weather_Site!J60+1)^1.5/(3.52*(Weather_Site!J60+1)^1.5+Weather_Site!I60-1)&gt;10, 10,0.191*(Weather_Site!K60+104)*(Weather_Site!J60+1)^1.5/(3.52*(Weather_Site!J60+1)^1.5+Weather_Site!I60-1)))</f>
        <v>7.882539682539683</v>
      </c>
      <c r="N57" s="51">
        <f t="shared" si="4"/>
        <v>2.9209440690230228</v>
      </c>
      <c r="O57" s="52">
        <f t="shared" si="5"/>
        <v>84.123189187863048</v>
      </c>
      <c r="P57" s="52">
        <f t="shared" si="6"/>
        <v>73.103939883432105</v>
      </c>
      <c r="Q57" s="51">
        <f t="shared" si="7"/>
        <v>4.8536014594422197</v>
      </c>
      <c r="R57" s="53">
        <f t="shared" si="8"/>
        <v>0</v>
      </c>
      <c r="S57" s="53">
        <f t="shared" si="9"/>
        <v>822.30247582411312</v>
      </c>
      <c r="T57" s="53">
        <f t="shared" si="10"/>
        <v>35187.657142857141</v>
      </c>
      <c r="U57" s="51">
        <f t="shared" si="11"/>
        <v>9.6159108777485347</v>
      </c>
      <c r="V57" s="52">
        <f t="shared" si="12"/>
        <v>2</v>
      </c>
      <c r="W57" s="52">
        <f t="shared" si="13"/>
        <v>5</v>
      </c>
      <c r="X57" s="51">
        <f t="shared" si="14"/>
        <v>2.538331245952504</v>
      </c>
      <c r="Y57" s="51">
        <f t="shared" si="15"/>
        <v>14.2296</v>
      </c>
      <c r="Z57" s="51" t="e">
        <f>IF(Use_BOM_DF,M57/10,MIN(0.972+(0.342*LN(Weather_Site!J60))-(0.245*LN(Weather_Site!I60)),1))</f>
        <v>#NUM!</v>
      </c>
      <c r="AA57" s="52" t="e">
        <f t="shared" si="16"/>
        <v>#NUM!</v>
      </c>
      <c r="AB57" s="52" t="e">
        <f t="shared" si="17"/>
        <v>#NUM!</v>
      </c>
      <c r="AC57" s="52" t="e">
        <f t="shared" si="18"/>
        <v>#NUM!</v>
      </c>
      <c r="AD57" s="51" t="e">
        <f t="shared" si="19"/>
        <v>#NUM!</v>
      </c>
      <c r="AE57" s="51" t="e">
        <f t="shared" si="20"/>
        <v>#NUM!</v>
      </c>
      <c r="AF57" s="53" t="e">
        <f t="shared" si="21"/>
        <v>#NUM!</v>
      </c>
      <c r="AG57" s="323">
        <f t="shared" si="22"/>
        <v>2.7223280180758529</v>
      </c>
    </row>
    <row r="58" spans="1:33" x14ac:dyDescent="0.25">
      <c r="A58" s="45" t="str">
        <f>Weather_Site!A61</f>
        <v>Tue</v>
      </c>
      <c r="B58" s="46">
        <f>Weather_Site!B61</f>
        <v>44551</v>
      </c>
      <c r="C58" s="47">
        <f>Weather_Site!C61</f>
        <v>0.20833333333333334</v>
      </c>
      <c r="D58" s="48">
        <f>Weather_Site!D61</f>
        <v>14.5</v>
      </c>
      <c r="E58" s="48">
        <f>Weather_Site!E61</f>
        <v>62.4</v>
      </c>
      <c r="F58" s="49">
        <f>Weather_Site!F61</f>
        <v>188</v>
      </c>
      <c r="G58" s="48">
        <f>Weather_Site!G61</f>
        <v>9</v>
      </c>
      <c r="H58" s="48">
        <f>IF(Weather_Site!M61&lt;180,Weather_Site!M61+180,Weather_Site!M61-180)</f>
        <v>8</v>
      </c>
      <c r="I58" s="172">
        <f t="shared" ref="I58:I89" si="30">C$5</f>
        <v>0</v>
      </c>
      <c r="J58" s="214">
        <f t="shared" ref="J58:J89" si="31">J$4</f>
        <v>3</v>
      </c>
      <c r="K58" s="48">
        <f t="shared" si="2"/>
        <v>3</v>
      </c>
      <c r="L58" s="172">
        <f t="shared" ref="L58:L89" si="32">C$4</f>
        <v>24</v>
      </c>
      <c r="M58" s="51">
        <f>IF(Use_BOM_DF,Weather_Site!H61,IF(0.191*(Weather_Site!K61+104)*(Weather_Site!J61+1)^1.5/(3.52*(Weather_Site!J61+1)^1.5+Weather_Site!I61-1)&gt;10, 10,0.191*(Weather_Site!K61+104)*(Weather_Site!J61+1)^1.5/(3.52*(Weather_Site!J61+1)^1.5+Weather_Site!I61-1)))</f>
        <v>7.882539682539683</v>
      </c>
      <c r="N58" s="51">
        <f t="shared" si="4"/>
        <v>2.2906986888568719</v>
      </c>
      <c r="O58" s="52">
        <f t="shared" si="5"/>
        <v>65.972122239077905</v>
      </c>
      <c r="P58" s="52">
        <f t="shared" si="6"/>
        <v>53.443887006188334</v>
      </c>
      <c r="Q58" s="51">
        <f t="shared" si="7"/>
        <v>4.6176375891080124</v>
      </c>
      <c r="R58" s="53">
        <f t="shared" si="8"/>
        <v>0</v>
      </c>
      <c r="S58" s="53">
        <f t="shared" si="9"/>
        <v>644.87616287842332</v>
      </c>
      <c r="T58" s="53">
        <f t="shared" si="10"/>
        <v>35187.657142857141</v>
      </c>
      <c r="U58" s="51">
        <f t="shared" si="11"/>
        <v>11.660424888889791</v>
      </c>
      <c r="V58" s="52">
        <f t="shared" si="12"/>
        <v>3</v>
      </c>
      <c r="W58" s="52">
        <f t="shared" si="13"/>
        <v>7.5</v>
      </c>
      <c r="X58" s="51">
        <f t="shared" si="14"/>
        <v>1.8556905210482062</v>
      </c>
      <c r="Y58" s="51">
        <f t="shared" si="15"/>
        <v>15.418800000000001</v>
      </c>
      <c r="Z58" s="51" t="e">
        <f>IF(Use_BOM_DF,M58/10,MIN(0.972+(0.342*LN(Weather_Site!J61))-(0.245*LN(Weather_Site!I61)),1))</f>
        <v>#NUM!</v>
      </c>
      <c r="AA58" s="52" t="e">
        <f t="shared" si="16"/>
        <v>#NUM!</v>
      </c>
      <c r="AB58" s="52" t="e">
        <f t="shared" si="17"/>
        <v>#NUM!</v>
      </c>
      <c r="AC58" s="52" t="e">
        <f t="shared" si="18"/>
        <v>#NUM!</v>
      </c>
      <c r="AD58" s="51" t="e">
        <f t="shared" si="19"/>
        <v>#NUM!</v>
      </c>
      <c r="AE58" s="51" t="e">
        <f t="shared" si="20"/>
        <v>#NUM!</v>
      </c>
      <c r="AF58" s="53" t="e">
        <f t="shared" si="21"/>
        <v>#NUM!</v>
      </c>
      <c r="AG58" s="323">
        <f t="shared" si="22"/>
        <v>1.9480838163964036</v>
      </c>
    </row>
    <row r="59" spans="1:33" x14ac:dyDescent="0.25">
      <c r="A59" s="45" t="str">
        <f>Weather_Site!A62</f>
        <v>Tue</v>
      </c>
      <c r="B59" s="46">
        <f>Weather_Site!B62</f>
        <v>44551</v>
      </c>
      <c r="C59" s="47">
        <f>Weather_Site!C62</f>
        <v>0.25</v>
      </c>
      <c r="D59" s="48">
        <f>Weather_Site!D62</f>
        <v>13.9</v>
      </c>
      <c r="E59" s="48">
        <f>Weather_Site!E62</f>
        <v>65.3</v>
      </c>
      <c r="F59" s="49">
        <f>Weather_Site!F62</f>
        <v>189</v>
      </c>
      <c r="G59" s="48">
        <f>Weather_Site!G62</f>
        <v>10</v>
      </c>
      <c r="H59" s="48">
        <f>IF(Weather_Site!M62&lt;180,Weather_Site!M62+180,Weather_Site!M62-180)</f>
        <v>9</v>
      </c>
      <c r="I59" s="172">
        <f t="shared" si="30"/>
        <v>0</v>
      </c>
      <c r="J59" s="214">
        <f t="shared" si="31"/>
        <v>3</v>
      </c>
      <c r="K59" s="48">
        <f t="shared" si="2"/>
        <v>3.3333333333333335</v>
      </c>
      <c r="L59" s="172">
        <f t="shared" si="32"/>
        <v>24</v>
      </c>
      <c r="M59" s="51">
        <f>IF(Use_BOM_DF,Weather_Site!H62,IF(0.191*(Weather_Site!K62+104)*(Weather_Site!J62+1)^1.5/(3.52*(Weather_Site!J62+1)^1.5+Weather_Site!I62-1)&gt;10, 10,0.191*(Weather_Site!K62+104)*(Weather_Site!J62+1)^1.5/(3.52*(Weather_Site!J62+1)^1.5+Weather_Site!I62-1)))</f>
        <v>7.882539682539683</v>
      </c>
      <c r="N59" s="51">
        <f t="shared" si="4"/>
        <v>2.0790828840219144</v>
      </c>
      <c r="O59" s="52">
        <f t="shared" si="5"/>
        <v>59.877587059831122</v>
      </c>
      <c r="P59" s="52">
        <f t="shared" si="6"/>
        <v>47.384836027113877</v>
      </c>
      <c r="Q59" s="51">
        <f t="shared" si="7"/>
        <v>4.5384086317778038</v>
      </c>
      <c r="R59" s="53">
        <f t="shared" si="8"/>
        <v>0</v>
      </c>
      <c r="S59" s="53">
        <f t="shared" si="9"/>
        <v>585.30220455285348</v>
      </c>
      <c r="T59" s="53">
        <f t="shared" si="10"/>
        <v>35187.657142857141</v>
      </c>
      <c r="U59" s="51">
        <f t="shared" si="11"/>
        <v>12.575726351003826</v>
      </c>
      <c r="V59" s="52">
        <f t="shared" si="12"/>
        <v>3.3333333333333335</v>
      </c>
      <c r="W59" s="52">
        <f t="shared" si="13"/>
        <v>8.3333333333333339</v>
      </c>
      <c r="X59" s="51">
        <f t="shared" si="14"/>
        <v>1.6453068064970098</v>
      </c>
      <c r="Y59" s="51">
        <f t="shared" si="15"/>
        <v>15.912800000000001</v>
      </c>
      <c r="Z59" s="51" t="e">
        <f>IF(Use_BOM_DF,M59/10,MIN(0.972+(0.342*LN(Weather_Site!J62))-(0.245*LN(Weather_Site!I62)),1))</f>
        <v>#NUM!</v>
      </c>
      <c r="AA59" s="52" t="e">
        <f t="shared" si="16"/>
        <v>#NUM!</v>
      </c>
      <c r="AB59" s="52" t="e">
        <f t="shared" si="17"/>
        <v>#NUM!</v>
      </c>
      <c r="AC59" s="52" t="e">
        <f t="shared" si="18"/>
        <v>#NUM!</v>
      </c>
      <c r="AD59" s="51" t="e">
        <f t="shared" si="19"/>
        <v>#NUM!</v>
      </c>
      <c r="AE59" s="51" t="e">
        <f t="shared" si="20"/>
        <v>#NUM!</v>
      </c>
      <c r="AF59" s="53" t="e">
        <f t="shared" si="21"/>
        <v>#NUM!</v>
      </c>
      <c r="AG59" s="323">
        <f t="shared" si="22"/>
        <v>1.701574049638005</v>
      </c>
    </row>
    <row r="60" spans="1:33" x14ac:dyDescent="0.25">
      <c r="A60" s="23" t="str">
        <f>Weather_Site!A63</f>
        <v>Tue</v>
      </c>
      <c r="B60" s="24">
        <f>Weather_Site!B63</f>
        <v>44551</v>
      </c>
      <c r="C60" s="25">
        <f>Weather_Site!C63</f>
        <v>0.29166666666666669</v>
      </c>
      <c r="D60" s="27">
        <f>Weather_Site!D63</f>
        <v>15.8</v>
      </c>
      <c r="E60" s="27">
        <f>Weather_Site!E63</f>
        <v>58.6</v>
      </c>
      <c r="F60" s="28">
        <f>Weather_Site!F63</f>
        <v>178</v>
      </c>
      <c r="G60" s="27">
        <f>Weather_Site!G63</f>
        <v>12</v>
      </c>
      <c r="H60" s="27">
        <f>IF(Weather_Site!M63&lt;180,Weather_Site!M63+180,Weather_Site!M63-180)</f>
        <v>358</v>
      </c>
      <c r="I60" s="172">
        <f t="shared" si="30"/>
        <v>0</v>
      </c>
      <c r="J60" s="214">
        <f t="shared" si="31"/>
        <v>3</v>
      </c>
      <c r="K60" s="27">
        <f t="shared" si="2"/>
        <v>4</v>
      </c>
      <c r="L60" s="172">
        <f t="shared" si="32"/>
        <v>24</v>
      </c>
      <c r="M60" s="32">
        <f>IF(Use_BOM_DF,Weather_Site!H63,IF(0.191*(Weather_Site!K63+104)*(Weather_Site!J63+1)^1.5/(3.52*(Weather_Site!J63+1)^1.5+Weather_Site!I63-1)&gt;10, 10,0.191*(Weather_Site!K63+104)*(Weather_Site!J63+1)^1.5/(3.52*(Weather_Site!J63+1)^1.5+Weather_Site!I63-1)))</f>
        <v>7.882539682539683</v>
      </c>
      <c r="N60" s="32">
        <f t="shared" si="4"/>
        <v>2.927347946220245</v>
      </c>
      <c r="O60" s="33">
        <f t="shared" si="5"/>
        <v>84.307620851143042</v>
      </c>
      <c r="P60" s="33">
        <f t="shared" si="6"/>
        <v>63.667374841240644</v>
      </c>
      <c r="Q60" s="32">
        <f t="shared" si="7"/>
        <v>4.8559990710648595</v>
      </c>
      <c r="R60" s="42">
        <f t="shared" si="8"/>
        <v>0</v>
      </c>
      <c r="S60" s="42">
        <f t="shared" si="9"/>
        <v>824.1052916089119</v>
      </c>
      <c r="T60" s="42">
        <f t="shared" si="10"/>
        <v>35187.657142857141</v>
      </c>
      <c r="U60" s="32">
        <f t="shared" si="11"/>
        <v>10.474474138039424</v>
      </c>
      <c r="V60" s="33">
        <f t="shared" si="12"/>
        <v>4</v>
      </c>
      <c r="W60" s="33">
        <f t="shared" si="13"/>
        <v>10</v>
      </c>
      <c r="X60" s="32">
        <f t="shared" si="14"/>
        <v>2.2106727375430784</v>
      </c>
      <c r="Y60" s="32">
        <f t="shared" si="15"/>
        <v>14.626600000000002</v>
      </c>
      <c r="Z60" s="266" t="e">
        <f>IF(Use_BOM_DF,M60/10,MIN(0.972+(0.342*LN(Weather_Site!J63))-(0.245*LN(Weather_Site!I63)),1))</f>
        <v>#NUM!</v>
      </c>
      <c r="AA60" s="33" t="e">
        <f t="shared" si="16"/>
        <v>#NUM!</v>
      </c>
      <c r="AB60" s="33" t="e">
        <f t="shared" si="17"/>
        <v>#NUM!</v>
      </c>
      <c r="AC60" s="33" t="e">
        <f t="shared" si="18"/>
        <v>#NUM!</v>
      </c>
      <c r="AD60" s="32" t="e">
        <f t="shared" si="19"/>
        <v>#NUM!</v>
      </c>
      <c r="AE60" s="32" t="e">
        <f t="shared" si="20"/>
        <v>#NUM!</v>
      </c>
      <c r="AF60" s="42" t="e">
        <f t="shared" si="21"/>
        <v>#NUM!</v>
      </c>
      <c r="AG60" s="83">
        <f t="shared" si="22"/>
        <v>2.617686418574388</v>
      </c>
    </row>
    <row r="61" spans="1:33" x14ac:dyDescent="0.25">
      <c r="A61" s="23" t="str">
        <f>Weather_Site!A64</f>
        <v>Tue</v>
      </c>
      <c r="B61" s="24">
        <f>Weather_Site!B64</f>
        <v>44551</v>
      </c>
      <c r="C61" s="25">
        <f>Weather_Site!C64</f>
        <v>0.33333333333333331</v>
      </c>
      <c r="D61" s="27">
        <f>Weather_Site!D64</f>
        <v>19.100000000000001</v>
      </c>
      <c r="E61" s="27">
        <f>Weather_Site!E64</f>
        <v>48.2</v>
      </c>
      <c r="F61" s="28">
        <f>Weather_Site!F64</f>
        <v>183</v>
      </c>
      <c r="G61" s="27">
        <f>Weather_Site!G64</f>
        <v>16</v>
      </c>
      <c r="H61" s="27">
        <f>IF(Weather_Site!M64&lt;180,Weather_Site!M64+180,Weather_Site!M64-180)</f>
        <v>3</v>
      </c>
      <c r="I61" s="172">
        <f t="shared" si="30"/>
        <v>0</v>
      </c>
      <c r="J61" s="214">
        <f t="shared" si="31"/>
        <v>3</v>
      </c>
      <c r="K61" s="27">
        <f t="shared" si="2"/>
        <v>5.333333333333333</v>
      </c>
      <c r="L61" s="172">
        <f t="shared" si="32"/>
        <v>24</v>
      </c>
      <c r="M61" s="32">
        <f>IF(Use_BOM_DF,Weather_Site!H64,IF(0.191*(Weather_Site!K64+104)*(Weather_Site!J64+1)^1.5/(3.52*(Weather_Site!J64+1)^1.5+Weather_Site!I64-1)&gt;10, 10,0.191*(Weather_Site!K64+104)*(Weather_Site!J64+1)^1.5/(3.52*(Weather_Site!J64+1)^1.5+Weather_Site!I64-1)))</f>
        <v>7.882539682539683</v>
      </c>
      <c r="N61" s="32">
        <f t="shared" si="4"/>
        <v>5.1450591989657273</v>
      </c>
      <c r="O61" s="33">
        <f t="shared" si="5"/>
        <v>148.17770493021294</v>
      </c>
      <c r="P61" s="33">
        <f t="shared" si="6"/>
        <v>101.90207085819763</v>
      </c>
      <c r="Q61" s="32">
        <f t="shared" si="7"/>
        <v>5.6863101640927685</v>
      </c>
      <c r="R61" s="42">
        <f t="shared" si="8"/>
        <v>140.54428725425927</v>
      </c>
      <c r="S61" s="42">
        <f t="shared" si="9"/>
        <v>1448.4340739144084</v>
      </c>
      <c r="T61" s="42">
        <f t="shared" si="10"/>
        <v>35187.657142857141</v>
      </c>
      <c r="U61" s="32">
        <f t="shared" si="11"/>
        <v>7.9746686269572731</v>
      </c>
      <c r="V61" s="33">
        <f t="shared" si="12"/>
        <v>5.333333333333333</v>
      </c>
      <c r="W61" s="33">
        <f t="shared" si="13"/>
        <v>13.333333333333334</v>
      </c>
      <c r="X61" s="32">
        <f t="shared" si="14"/>
        <v>3.5382663492429733</v>
      </c>
      <c r="Y61" s="32">
        <f t="shared" si="15"/>
        <v>12.531200000000002</v>
      </c>
      <c r="Z61" s="266" t="e">
        <f>IF(Use_BOM_DF,M61/10,MIN(0.972+(0.342*LN(Weather_Site!J64))-(0.245*LN(Weather_Site!I64)),1))</f>
        <v>#NUM!</v>
      </c>
      <c r="AA61" s="33" t="e">
        <f t="shared" si="16"/>
        <v>#NUM!</v>
      </c>
      <c r="AB61" s="33" t="e">
        <f t="shared" si="17"/>
        <v>#NUM!</v>
      </c>
      <c r="AC61" s="33" t="e">
        <f t="shared" si="18"/>
        <v>#NUM!</v>
      </c>
      <c r="AD61" s="32" t="e">
        <f t="shared" si="19"/>
        <v>#NUM!</v>
      </c>
      <c r="AE61" s="32" t="e">
        <f t="shared" si="20"/>
        <v>#NUM!</v>
      </c>
      <c r="AF61" s="42" t="e">
        <f t="shared" si="21"/>
        <v>#NUM!</v>
      </c>
      <c r="AG61" s="83">
        <f t="shared" si="22"/>
        <v>5.0962263331765936</v>
      </c>
    </row>
    <row r="62" spans="1:33" x14ac:dyDescent="0.25">
      <c r="A62" s="23" t="str">
        <f>Weather_Site!A65</f>
        <v>Tue</v>
      </c>
      <c r="B62" s="24">
        <f>Weather_Site!B65</f>
        <v>44551</v>
      </c>
      <c r="C62" s="25">
        <f>Weather_Site!C65</f>
        <v>0.375</v>
      </c>
      <c r="D62" s="27">
        <f>Weather_Site!D65</f>
        <v>21.8</v>
      </c>
      <c r="E62" s="27">
        <f>Weather_Site!E65</f>
        <v>42</v>
      </c>
      <c r="F62" s="28">
        <f>Weather_Site!F65</f>
        <v>179</v>
      </c>
      <c r="G62" s="27">
        <f>Weather_Site!G65</f>
        <v>10</v>
      </c>
      <c r="H62" s="27">
        <f>IF(Weather_Site!M65&lt;180,Weather_Site!M65+180,Weather_Site!M65-180)</f>
        <v>359</v>
      </c>
      <c r="I62" s="172">
        <f t="shared" si="30"/>
        <v>0</v>
      </c>
      <c r="J62" s="214">
        <f t="shared" si="31"/>
        <v>3</v>
      </c>
      <c r="K62" s="27">
        <f t="shared" si="2"/>
        <v>3.3333333333333335</v>
      </c>
      <c r="L62" s="172">
        <f t="shared" si="32"/>
        <v>24</v>
      </c>
      <c r="M62" s="32">
        <f>IF(Use_BOM_DF,Weather_Site!H65,IF(0.191*(Weather_Site!K65+104)*(Weather_Site!J65+1)^1.5/(3.52*(Weather_Site!J65+1)^1.5+Weather_Site!I65-1)&gt;10, 10,0.191*(Weather_Site!K65+104)*(Weather_Site!J65+1)^1.5/(3.52*(Weather_Site!J65+1)^1.5+Weather_Site!I65-1)))</f>
        <v>7.882539682539683</v>
      </c>
      <c r="N62" s="32">
        <f t="shared" si="4"/>
        <v>6.0665912579891961</v>
      </c>
      <c r="O62" s="33">
        <f t="shared" si="5"/>
        <v>174.71782823008883</v>
      </c>
      <c r="P62" s="33">
        <f t="shared" si="6"/>
        <v>138.26501781749582</v>
      </c>
      <c r="Q62" s="32">
        <f t="shared" si="7"/>
        <v>6.0313317669911548</v>
      </c>
      <c r="R62" s="42">
        <f t="shared" si="8"/>
        <v>230.19682376124007</v>
      </c>
      <c r="S62" s="42">
        <f t="shared" si="9"/>
        <v>1707.8632433129676</v>
      </c>
      <c r="T62" s="42">
        <f t="shared" si="10"/>
        <v>35187.657142857141</v>
      </c>
      <c r="U62" s="32">
        <f t="shared" si="11"/>
        <v>6.7824684382384488</v>
      </c>
      <c r="V62" s="33">
        <f t="shared" si="12"/>
        <v>3.3333333333333335</v>
      </c>
      <c r="W62" s="33">
        <f t="shared" si="13"/>
        <v>8.3333333333333339</v>
      </c>
      <c r="X62" s="32">
        <f t="shared" si="14"/>
        <v>4.8008686742186049</v>
      </c>
      <c r="Y62" s="32">
        <f t="shared" si="15"/>
        <v>11.0754</v>
      </c>
      <c r="Z62" s="266" t="e">
        <f>IF(Use_BOM_DF,M62/10,MIN(0.972+(0.342*LN(Weather_Site!J65))-(0.245*LN(Weather_Site!I65)),1))</f>
        <v>#NUM!</v>
      </c>
      <c r="AA62" s="33" t="e">
        <f t="shared" si="16"/>
        <v>#NUM!</v>
      </c>
      <c r="AB62" s="33" t="e">
        <f t="shared" si="17"/>
        <v>#NUM!</v>
      </c>
      <c r="AC62" s="33" t="e">
        <f t="shared" si="18"/>
        <v>#NUM!</v>
      </c>
      <c r="AD62" s="32" t="e">
        <f t="shared" si="19"/>
        <v>#NUM!</v>
      </c>
      <c r="AE62" s="32" t="e">
        <f t="shared" si="20"/>
        <v>#NUM!</v>
      </c>
      <c r="AF62" s="42" t="e">
        <f t="shared" si="21"/>
        <v>#NUM!</v>
      </c>
      <c r="AG62" s="83">
        <f t="shared" si="22"/>
        <v>6.2223720837186711</v>
      </c>
    </row>
    <row r="63" spans="1:33" x14ac:dyDescent="0.25">
      <c r="A63" s="23" t="str">
        <f>Weather_Site!A66</f>
        <v>Tue</v>
      </c>
      <c r="B63" s="24">
        <f>Weather_Site!B66</f>
        <v>44551</v>
      </c>
      <c r="C63" s="25">
        <f>Weather_Site!C66</f>
        <v>0.41666666666666669</v>
      </c>
      <c r="D63" s="27">
        <f>Weather_Site!D66</f>
        <v>24.5</v>
      </c>
      <c r="E63" s="27">
        <f>Weather_Site!E66</f>
        <v>33.1</v>
      </c>
      <c r="F63" s="28">
        <f>Weather_Site!F66</f>
        <v>158</v>
      </c>
      <c r="G63" s="27">
        <f>Weather_Site!G66</f>
        <v>14</v>
      </c>
      <c r="H63" s="27">
        <f>IF(Weather_Site!M66&lt;180,Weather_Site!M66+180,Weather_Site!M66-180)</f>
        <v>338</v>
      </c>
      <c r="I63" s="172">
        <f t="shared" si="30"/>
        <v>0</v>
      </c>
      <c r="J63" s="214">
        <f t="shared" si="31"/>
        <v>3</v>
      </c>
      <c r="K63" s="27">
        <f t="shared" si="2"/>
        <v>4.666666666666667</v>
      </c>
      <c r="L63" s="172">
        <f t="shared" si="32"/>
        <v>24</v>
      </c>
      <c r="M63" s="32">
        <f>IF(Use_BOM_DF,Weather_Site!H66,IF(0.191*(Weather_Site!K66+104)*(Weather_Site!J66+1)^1.5/(3.52*(Weather_Site!J66+1)^1.5+Weather_Site!I66-1)&gt;10, 10,0.191*(Weather_Site!K66+104)*(Weather_Site!J66+1)^1.5/(3.52*(Weather_Site!J66+1)^1.5+Weather_Site!I66-1)))</f>
        <v>7.882539682539683</v>
      </c>
      <c r="N63" s="32">
        <f t="shared" si="4"/>
        <v>9.9215273416323271</v>
      </c>
      <c r="O63" s="33">
        <f t="shared" si="5"/>
        <v>285.73998743901097</v>
      </c>
      <c r="P63" s="33">
        <f t="shared" si="6"/>
        <v>205.91887127931912</v>
      </c>
      <c r="Q63" s="32">
        <f t="shared" si="7"/>
        <v>7.4746198367071433</v>
      </c>
      <c r="R63" s="42">
        <f t="shared" si="8"/>
        <v>605.22967756897901</v>
      </c>
      <c r="S63" s="42">
        <f t="shared" si="9"/>
        <v>2793.1026079899198</v>
      </c>
      <c r="T63" s="42">
        <f t="shared" si="10"/>
        <v>35187.657142857141</v>
      </c>
      <c r="U63" s="32">
        <f t="shared" si="11"/>
        <v>5.5523198123190385</v>
      </c>
      <c r="V63" s="33">
        <f t="shared" si="12"/>
        <v>4.666666666666667</v>
      </c>
      <c r="W63" s="33">
        <f t="shared" si="13"/>
        <v>11.666666666666668</v>
      </c>
      <c r="X63" s="32">
        <f t="shared" si="14"/>
        <v>7.149960808309693</v>
      </c>
      <c r="Y63" s="32">
        <f t="shared" si="15"/>
        <v>9.3172000000000015</v>
      </c>
      <c r="Z63" s="266" t="e">
        <f>IF(Use_BOM_DF,M63/10,MIN(0.972+(0.342*LN(Weather_Site!J66))-(0.245*LN(Weather_Site!I66)),1))</f>
        <v>#NUM!</v>
      </c>
      <c r="AA63" s="33" t="e">
        <f t="shared" si="16"/>
        <v>#NUM!</v>
      </c>
      <c r="AB63" s="33" t="e">
        <f t="shared" si="17"/>
        <v>#NUM!</v>
      </c>
      <c r="AC63" s="33" t="e">
        <f t="shared" si="18"/>
        <v>#NUM!</v>
      </c>
      <c r="AD63" s="32" t="e">
        <f t="shared" si="19"/>
        <v>#NUM!</v>
      </c>
      <c r="AE63" s="32" t="e">
        <f t="shared" si="20"/>
        <v>#NUM!</v>
      </c>
      <c r="AF63" s="42" t="e">
        <f t="shared" si="21"/>
        <v>#NUM!</v>
      </c>
      <c r="AG63" s="83">
        <f t="shared" si="22"/>
        <v>10.40216858024907</v>
      </c>
    </row>
    <row r="64" spans="1:33" x14ac:dyDescent="0.25">
      <c r="A64" s="23" t="str">
        <f>Weather_Site!A67</f>
        <v>Tue</v>
      </c>
      <c r="B64" s="24">
        <f>Weather_Site!B67</f>
        <v>44551</v>
      </c>
      <c r="C64" s="25">
        <f>Weather_Site!C67</f>
        <v>0.45833333333333331</v>
      </c>
      <c r="D64" s="27">
        <f>Weather_Site!D67</f>
        <v>26.9</v>
      </c>
      <c r="E64" s="27">
        <f>Weather_Site!E67</f>
        <v>27.9</v>
      </c>
      <c r="F64" s="28">
        <f>Weather_Site!F67</f>
        <v>153</v>
      </c>
      <c r="G64" s="27">
        <f>Weather_Site!G67</f>
        <v>11</v>
      </c>
      <c r="H64" s="27">
        <f>IF(Weather_Site!M67&lt;180,Weather_Site!M67+180,Weather_Site!M67-180)</f>
        <v>333</v>
      </c>
      <c r="I64" s="172">
        <f t="shared" si="30"/>
        <v>0</v>
      </c>
      <c r="J64" s="214">
        <f t="shared" si="31"/>
        <v>3</v>
      </c>
      <c r="K64" s="27">
        <f t="shared" si="2"/>
        <v>3.6666666666666665</v>
      </c>
      <c r="L64" s="172">
        <f t="shared" si="32"/>
        <v>24</v>
      </c>
      <c r="M64" s="32">
        <f>IF(Use_BOM_DF,Weather_Site!H67,IF(0.191*(Weather_Site!K67+104)*(Weather_Site!J67+1)^1.5/(3.52*(Weather_Site!J67+1)^1.5+Weather_Site!I67-1)&gt;10, 10,0.191*(Weather_Site!K67+104)*(Weather_Site!J67+1)^1.5/(3.52*(Weather_Site!J67+1)^1.5+Weather_Site!I67-1)))</f>
        <v>7.882539682539683</v>
      </c>
      <c r="N64" s="32">
        <f t="shared" si="4"/>
        <v>12.001442793299839</v>
      </c>
      <c r="O64" s="33">
        <f t="shared" si="5"/>
        <v>345.64155244703534</v>
      </c>
      <c r="P64" s="33">
        <f t="shared" si="6"/>
        <v>267.20128812487707</v>
      </c>
      <c r="Q64" s="32">
        <f t="shared" si="7"/>
        <v>8.2533401818114598</v>
      </c>
      <c r="R64" s="42">
        <f t="shared" si="8"/>
        <v>807.57716416608525</v>
      </c>
      <c r="S64" s="42">
        <f t="shared" si="9"/>
        <v>3378.6391965022358</v>
      </c>
      <c r="T64" s="42">
        <f t="shared" si="10"/>
        <v>35187.657142857141</v>
      </c>
      <c r="U64" s="32">
        <f t="shared" si="11"/>
        <v>4.9384683880854343</v>
      </c>
      <c r="V64" s="33">
        <f t="shared" si="12"/>
        <v>3.6666666666666665</v>
      </c>
      <c r="W64" s="33">
        <f t="shared" si="13"/>
        <v>9.1666666666666679</v>
      </c>
      <c r="X64" s="32">
        <f t="shared" si="14"/>
        <v>9.2778225043360099</v>
      </c>
      <c r="Y64" s="32">
        <f t="shared" si="15"/>
        <v>8.0580000000000016</v>
      </c>
      <c r="Z64" s="266" t="e">
        <f>IF(Use_BOM_DF,M64/10,MIN(0.972+(0.342*LN(Weather_Site!J67))-(0.245*LN(Weather_Site!I67)),1))</f>
        <v>#NUM!</v>
      </c>
      <c r="AA64" s="33" t="e">
        <f t="shared" si="16"/>
        <v>#NUM!</v>
      </c>
      <c r="AB64" s="33" t="e">
        <f t="shared" si="17"/>
        <v>#NUM!</v>
      </c>
      <c r="AC64" s="33" t="e">
        <f t="shared" si="18"/>
        <v>#NUM!</v>
      </c>
      <c r="AD64" s="32" t="e">
        <f t="shared" si="19"/>
        <v>#NUM!</v>
      </c>
      <c r="AE64" s="32" t="e">
        <f t="shared" si="20"/>
        <v>#NUM!</v>
      </c>
      <c r="AF64" s="42" t="e">
        <f t="shared" si="21"/>
        <v>#NUM!</v>
      </c>
      <c r="AG64" s="83">
        <f t="shared" si="22"/>
        <v>12.401922848074697</v>
      </c>
    </row>
    <row r="65" spans="1:33" x14ac:dyDescent="0.25">
      <c r="A65" s="45" t="str">
        <f>Weather_Site!A68</f>
        <v>Tue</v>
      </c>
      <c r="B65" s="46">
        <f>Weather_Site!B68</f>
        <v>44551</v>
      </c>
      <c r="C65" s="47">
        <f>Weather_Site!C68</f>
        <v>0.5</v>
      </c>
      <c r="D65" s="48">
        <f>Weather_Site!D68</f>
        <v>28</v>
      </c>
      <c r="E65" s="48">
        <f>Weather_Site!E68</f>
        <v>25</v>
      </c>
      <c r="F65" s="49">
        <f>Weather_Site!F68</f>
        <v>162</v>
      </c>
      <c r="G65" s="48">
        <f>Weather_Site!G68</f>
        <v>11</v>
      </c>
      <c r="H65" s="48">
        <f>IF(Weather_Site!M68&lt;180,Weather_Site!M68+180,Weather_Site!M68-180)</f>
        <v>342</v>
      </c>
      <c r="I65" s="172">
        <f t="shared" si="30"/>
        <v>0</v>
      </c>
      <c r="J65" s="214">
        <f t="shared" si="31"/>
        <v>3</v>
      </c>
      <c r="K65" s="48">
        <f t="shared" si="2"/>
        <v>3.6666666666666665</v>
      </c>
      <c r="L65" s="172">
        <f t="shared" si="32"/>
        <v>24</v>
      </c>
      <c r="M65" s="51">
        <f>IF(Use_BOM_DF,Weather_Site!H68,IF(0.191*(Weather_Site!K68+104)*(Weather_Site!J68+1)^1.5/(3.52*(Weather_Site!J68+1)^1.5+Weather_Site!I68-1)&gt;10, 10,0.191*(Weather_Site!K68+104)*(Weather_Site!J68+1)^1.5/(3.52*(Weather_Site!J68+1)^1.5+Weather_Site!I68-1)))</f>
        <v>7.882539682539683</v>
      </c>
      <c r="N65" s="51">
        <f t="shared" si="4"/>
        <v>13.76675840854465</v>
      </c>
      <c r="O65" s="52">
        <f t="shared" si="5"/>
        <v>396.4826421660859</v>
      </c>
      <c r="P65" s="52">
        <f t="shared" si="6"/>
        <v>306.50444645878258</v>
      </c>
      <c r="Q65" s="51">
        <f t="shared" si="7"/>
        <v>8.9142743481591165</v>
      </c>
      <c r="R65" s="53">
        <f t="shared" si="8"/>
        <v>979.31836523703817</v>
      </c>
      <c r="S65" s="53">
        <f t="shared" si="9"/>
        <v>3875.6098220001436</v>
      </c>
      <c r="T65" s="53">
        <f t="shared" si="10"/>
        <v>35187.657142857141</v>
      </c>
      <c r="U65" s="51">
        <f t="shared" si="11"/>
        <v>4.6519621397240956</v>
      </c>
      <c r="V65" s="52">
        <f t="shared" si="12"/>
        <v>3.6666666666666665</v>
      </c>
      <c r="W65" s="52">
        <f t="shared" si="13"/>
        <v>9.1666666666666679</v>
      </c>
      <c r="X65" s="51">
        <f t="shared" si="14"/>
        <v>10.642515502041064</v>
      </c>
      <c r="Y65" s="51">
        <f t="shared" si="15"/>
        <v>5.3479999999999999</v>
      </c>
      <c r="Z65" s="51" t="e">
        <f>IF(Use_BOM_DF,M65/10,MIN(0.972+(0.342*LN(Weather_Site!J68))-(0.245*LN(Weather_Site!I68)),1))</f>
        <v>#NUM!</v>
      </c>
      <c r="AA65" s="52" t="e">
        <f t="shared" si="16"/>
        <v>#NUM!</v>
      </c>
      <c r="AB65" s="52" t="e">
        <f t="shared" si="17"/>
        <v>#NUM!</v>
      </c>
      <c r="AC65" s="52" t="e">
        <f t="shared" si="18"/>
        <v>#NUM!</v>
      </c>
      <c r="AD65" s="51" t="e">
        <f t="shared" si="19"/>
        <v>#NUM!</v>
      </c>
      <c r="AE65" s="51" t="e">
        <f t="shared" si="20"/>
        <v>#NUM!</v>
      </c>
      <c r="AF65" s="53" t="e">
        <f t="shared" si="21"/>
        <v>#NUM!</v>
      </c>
      <c r="AG65" s="323">
        <f t="shared" si="22"/>
        <v>14.060373230602558</v>
      </c>
    </row>
    <row r="66" spans="1:33" x14ac:dyDescent="0.25">
      <c r="A66" s="45" t="str">
        <f>Weather_Site!A69</f>
        <v>Tue</v>
      </c>
      <c r="B66" s="46">
        <f>Weather_Site!B69</f>
        <v>44551</v>
      </c>
      <c r="C66" s="47">
        <f>Weather_Site!C69</f>
        <v>0.54166666666666663</v>
      </c>
      <c r="D66" s="48">
        <f>Weather_Site!D69</f>
        <v>29.5</v>
      </c>
      <c r="E66" s="48">
        <f>Weather_Site!E69</f>
        <v>22</v>
      </c>
      <c r="F66" s="49">
        <f>Weather_Site!F69</f>
        <v>198</v>
      </c>
      <c r="G66" s="48">
        <f>Weather_Site!G69</f>
        <v>11</v>
      </c>
      <c r="H66" s="48">
        <f>IF(Weather_Site!M69&lt;180,Weather_Site!M69+180,Weather_Site!M69-180)</f>
        <v>18</v>
      </c>
      <c r="I66" s="172">
        <f t="shared" si="30"/>
        <v>0</v>
      </c>
      <c r="J66" s="214">
        <f t="shared" si="31"/>
        <v>3</v>
      </c>
      <c r="K66" s="48">
        <f t="shared" si="2"/>
        <v>3.6666666666666665</v>
      </c>
      <c r="L66" s="172">
        <f t="shared" si="32"/>
        <v>24</v>
      </c>
      <c r="M66" s="51">
        <f>IF(Use_BOM_DF,Weather_Site!H69,IF(0.191*(Weather_Site!K69+104)*(Weather_Site!J69+1)^1.5/(3.52*(Weather_Site!J69+1)^1.5+Weather_Site!I69-1)&gt;10, 10,0.191*(Weather_Site!K69+104)*(Weather_Site!J69+1)^1.5/(3.52*(Weather_Site!J69+1)^1.5+Weather_Site!I69-1)))</f>
        <v>7.882539682539683</v>
      </c>
      <c r="N66" s="51">
        <f t="shared" si="4"/>
        <v>16.06201030488997</v>
      </c>
      <c r="O66" s="52">
        <f t="shared" si="5"/>
        <v>462.58589678083104</v>
      </c>
      <c r="P66" s="52">
        <f t="shared" si="6"/>
        <v>357.60615763111986</v>
      </c>
      <c r="Q66" s="51">
        <f t="shared" si="7"/>
        <v>9.7736166581508037</v>
      </c>
      <c r="R66" s="53">
        <f t="shared" si="8"/>
        <v>1202.6151593256475</v>
      </c>
      <c r="S66" s="53">
        <f t="shared" si="9"/>
        <v>4521.7678012030892</v>
      </c>
      <c r="T66" s="53">
        <f t="shared" si="10"/>
        <v>35187.657142857141</v>
      </c>
      <c r="U66" s="51">
        <f t="shared" si="11"/>
        <v>4.3712406312561827</v>
      </c>
      <c r="V66" s="52">
        <f t="shared" si="12"/>
        <v>3.6666666666666665</v>
      </c>
      <c r="W66" s="52">
        <f t="shared" si="13"/>
        <v>9.1666666666666679</v>
      </c>
      <c r="X66" s="51">
        <f t="shared" si="14"/>
        <v>12.416880473302774</v>
      </c>
      <c r="Y66" s="51">
        <f t="shared" si="15"/>
        <v>4.694</v>
      </c>
      <c r="Z66" s="51" t="e">
        <f>IF(Use_BOM_DF,M66/10,MIN(0.972+(0.342*LN(Weather_Site!J69))-(0.245*LN(Weather_Site!I69)),1))</f>
        <v>#NUM!</v>
      </c>
      <c r="AA66" s="52" t="e">
        <f t="shared" si="16"/>
        <v>#NUM!</v>
      </c>
      <c r="AB66" s="52" t="e">
        <f t="shared" si="17"/>
        <v>#NUM!</v>
      </c>
      <c r="AC66" s="52" t="e">
        <f t="shared" si="18"/>
        <v>#NUM!</v>
      </c>
      <c r="AD66" s="51" t="e">
        <f t="shared" si="19"/>
        <v>#NUM!</v>
      </c>
      <c r="AE66" s="51" t="e">
        <f t="shared" si="20"/>
        <v>#NUM!</v>
      </c>
      <c r="AF66" s="53" t="e">
        <f t="shared" si="21"/>
        <v>#NUM!</v>
      </c>
      <c r="AG66" s="323">
        <f t="shared" si="22"/>
        <v>16.023703818786519</v>
      </c>
    </row>
    <row r="67" spans="1:33" x14ac:dyDescent="0.25">
      <c r="A67" s="45" t="str">
        <f>Weather_Site!A70</f>
        <v>Tue</v>
      </c>
      <c r="B67" s="46">
        <f>Weather_Site!B70</f>
        <v>44551</v>
      </c>
      <c r="C67" s="47">
        <f>Weather_Site!C70</f>
        <v>0.58333333333333337</v>
      </c>
      <c r="D67" s="48">
        <f>Weather_Site!D70</f>
        <v>31.4</v>
      </c>
      <c r="E67" s="48">
        <f>Weather_Site!E70</f>
        <v>18.600000000000001</v>
      </c>
      <c r="F67" s="49">
        <f>Weather_Site!F70</f>
        <v>208</v>
      </c>
      <c r="G67" s="48">
        <f>Weather_Site!G70</f>
        <v>11</v>
      </c>
      <c r="H67" s="48">
        <f>IF(Weather_Site!M70&lt;180,Weather_Site!M70+180,Weather_Site!M70-180)</f>
        <v>28</v>
      </c>
      <c r="I67" s="172">
        <f t="shared" si="30"/>
        <v>0</v>
      </c>
      <c r="J67" s="214">
        <f t="shared" si="31"/>
        <v>3</v>
      </c>
      <c r="K67" s="48">
        <f t="shared" si="2"/>
        <v>3.6666666666666665</v>
      </c>
      <c r="L67" s="172">
        <f t="shared" si="32"/>
        <v>24</v>
      </c>
      <c r="M67" s="51">
        <f>IF(Use_BOM_DF,Weather_Site!H70,IF(0.191*(Weather_Site!K70+104)*(Weather_Site!J70+1)^1.5/(3.52*(Weather_Site!J70+1)^1.5+Weather_Site!I70-1)&gt;10, 10,0.191*(Weather_Site!K70+104)*(Weather_Site!J70+1)^1.5/(3.52*(Weather_Site!J70+1)^1.5+Weather_Site!I70-1)))</f>
        <v>7.882539682539683</v>
      </c>
      <c r="N67" s="51">
        <f t="shared" si="4"/>
        <v>19.258969019872929</v>
      </c>
      <c r="O67" s="52">
        <f t="shared" si="5"/>
        <v>554.65830777234021</v>
      </c>
      <c r="P67" s="52">
        <f t="shared" si="6"/>
        <v>428.78355700200206</v>
      </c>
      <c r="Q67" s="51">
        <f t="shared" si="7"/>
        <v>10.970558001040423</v>
      </c>
      <c r="R67" s="53">
        <f t="shared" si="8"/>
        <v>1513.6357636549653</v>
      </c>
      <c r="S67" s="53">
        <f t="shared" si="9"/>
        <v>5421.7737596592697</v>
      </c>
      <c r="T67" s="53">
        <f t="shared" si="10"/>
        <v>35187.657142857141</v>
      </c>
      <c r="U67" s="51">
        <f t="shared" si="11"/>
        <v>4.0831982760759002</v>
      </c>
      <c r="V67" s="52">
        <f t="shared" si="12"/>
        <v>3.6666666666666665</v>
      </c>
      <c r="W67" s="52">
        <f t="shared" si="13"/>
        <v>9.1666666666666679</v>
      </c>
      <c r="X67" s="51">
        <f t="shared" si="14"/>
        <v>14.888317951458404</v>
      </c>
      <c r="Y67" s="51">
        <f t="shared" si="15"/>
        <v>3.9188000000000005</v>
      </c>
      <c r="Z67" s="51" t="e">
        <f>IF(Use_BOM_DF,M67/10,MIN(0.972+(0.342*LN(Weather_Site!J70))-(0.245*LN(Weather_Site!I70)),1))</f>
        <v>#NUM!</v>
      </c>
      <c r="AA67" s="52" t="e">
        <f t="shared" si="16"/>
        <v>#NUM!</v>
      </c>
      <c r="AB67" s="52" t="e">
        <f t="shared" si="17"/>
        <v>#NUM!</v>
      </c>
      <c r="AC67" s="52" t="e">
        <f t="shared" si="18"/>
        <v>#NUM!</v>
      </c>
      <c r="AD67" s="51" t="e">
        <f t="shared" si="19"/>
        <v>#NUM!</v>
      </c>
      <c r="AE67" s="51" t="e">
        <f t="shared" si="20"/>
        <v>#NUM!</v>
      </c>
      <c r="AF67" s="53" t="e">
        <f t="shared" si="21"/>
        <v>#NUM!</v>
      </c>
      <c r="AG67" s="323">
        <f t="shared" si="22"/>
        <v>18.489783404845618</v>
      </c>
    </row>
    <row r="68" spans="1:33" x14ac:dyDescent="0.25">
      <c r="A68" s="45" t="str">
        <f>Weather_Site!A71</f>
        <v>Tue</v>
      </c>
      <c r="B68" s="46">
        <f>Weather_Site!B71</f>
        <v>44551</v>
      </c>
      <c r="C68" s="47">
        <f>Weather_Site!C71</f>
        <v>0.625</v>
      </c>
      <c r="D68" s="48">
        <f>Weather_Site!D71</f>
        <v>32.4</v>
      </c>
      <c r="E68" s="48">
        <f>Weather_Site!E71</f>
        <v>16.5</v>
      </c>
      <c r="F68" s="49">
        <f>Weather_Site!F71</f>
        <v>212</v>
      </c>
      <c r="G68" s="48">
        <f>Weather_Site!G71</f>
        <v>9</v>
      </c>
      <c r="H68" s="48">
        <f>IF(Weather_Site!M71&lt;180,Weather_Site!M71+180,Weather_Site!M71-180)</f>
        <v>32</v>
      </c>
      <c r="I68" s="172">
        <f t="shared" si="30"/>
        <v>0</v>
      </c>
      <c r="J68" s="214">
        <f t="shared" si="31"/>
        <v>3</v>
      </c>
      <c r="K68" s="48">
        <f t="shared" si="2"/>
        <v>3</v>
      </c>
      <c r="L68" s="172">
        <f t="shared" si="32"/>
        <v>24</v>
      </c>
      <c r="M68" s="51">
        <f>IF(Use_BOM_DF,Weather_Site!H71,IF(0.191*(Weather_Site!K71+104)*(Weather_Site!J71+1)^1.5/(3.52*(Weather_Site!J71+1)^1.5+Weather_Site!I71-1)&gt;10, 10,0.191*(Weather_Site!K71+104)*(Weather_Site!J71+1)^1.5/(3.52*(Weather_Site!J71+1)^1.5+Weather_Site!I71-1)))</f>
        <v>7.882539682539683</v>
      </c>
      <c r="N68" s="51">
        <f t="shared" si="4"/>
        <v>20.438632814128123</v>
      </c>
      <c r="O68" s="52">
        <f t="shared" si="5"/>
        <v>588.63262504688998</v>
      </c>
      <c r="P68" s="52">
        <f t="shared" si="6"/>
        <v>476.85013659493455</v>
      </c>
      <c r="Q68" s="51">
        <f t="shared" si="7"/>
        <v>11.412224125609569</v>
      </c>
      <c r="R68" s="53">
        <f t="shared" si="8"/>
        <v>1628.4010074083947</v>
      </c>
      <c r="S68" s="53">
        <f t="shared" si="9"/>
        <v>5753.8720250603492</v>
      </c>
      <c r="T68" s="53">
        <f t="shared" si="10"/>
        <v>35187.657142857141</v>
      </c>
      <c r="U68" s="51">
        <f t="shared" si="11"/>
        <v>3.9269711623111219</v>
      </c>
      <c r="V68" s="52">
        <f t="shared" si="12"/>
        <v>3</v>
      </c>
      <c r="W68" s="52">
        <f t="shared" si="13"/>
        <v>7.5</v>
      </c>
      <c r="X68" s="51">
        <f t="shared" si="14"/>
        <v>16.557296409546339</v>
      </c>
      <c r="Y68" s="51">
        <f t="shared" si="15"/>
        <v>3.4695000000000005</v>
      </c>
      <c r="Z68" s="51" t="e">
        <f>IF(Use_BOM_DF,M68/10,MIN(0.972+(0.342*LN(Weather_Site!J71))-(0.245*LN(Weather_Site!I71)),1))</f>
        <v>#NUM!</v>
      </c>
      <c r="AA68" s="52" t="e">
        <f t="shared" si="16"/>
        <v>#NUM!</v>
      </c>
      <c r="AB68" s="52" t="e">
        <f t="shared" si="17"/>
        <v>#NUM!</v>
      </c>
      <c r="AC68" s="52" t="e">
        <f t="shared" si="18"/>
        <v>#NUM!</v>
      </c>
      <c r="AD68" s="51" t="e">
        <f t="shared" si="19"/>
        <v>#NUM!</v>
      </c>
      <c r="AE68" s="51" t="e">
        <f t="shared" si="20"/>
        <v>#NUM!</v>
      </c>
      <c r="AF68" s="53" t="e">
        <f t="shared" si="21"/>
        <v>#NUM!</v>
      </c>
      <c r="AG68" s="323">
        <f t="shared" si="22"/>
        <v>19.15078727968374</v>
      </c>
    </row>
    <row r="69" spans="1:33" x14ac:dyDescent="0.25">
      <c r="A69" s="45" t="str">
        <f>Weather_Site!A72</f>
        <v>Tue</v>
      </c>
      <c r="B69" s="46">
        <f>Weather_Site!B72</f>
        <v>44551</v>
      </c>
      <c r="C69" s="47">
        <f>Weather_Site!C72</f>
        <v>0.66666666666666663</v>
      </c>
      <c r="D69" s="48">
        <f>Weather_Site!D72</f>
        <v>33.299999999999997</v>
      </c>
      <c r="E69" s="48">
        <f>Weather_Site!E72</f>
        <v>15.6</v>
      </c>
      <c r="F69" s="49">
        <f>Weather_Site!F72</f>
        <v>216</v>
      </c>
      <c r="G69" s="48">
        <f>Weather_Site!G72</f>
        <v>11</v>
      </c>
      <c r="H69" s="48">
        <f>IF(Weather_Site!M72&lt;180,Weather_Site!M72+180,Weather_Site!M72-180)</f>
        <v>36</v>
      </c>
      <c r="I69" s="172">
        <f t="shared" si="30"/>
        <v>0</v>
      </c>
      <c r="J69" s="214">
        <f t="shared" si="31"/>
        <v>3</v>
      </c>
      <c r="K69" s="48">
        <f t="shared" si="2"/>
        <v>3.6666666666666665</v>
      </c>
      <c r="L69" s="172">
        <f t="shared" si="32"/>
        <v>24</v>
      </c>
      <c r="M69" s="51">
        <f>IF(Use_BOM_DF,Weather_Site!H72,IF(0.191*(Weather_Site!K72+104)*(Weather_Site!J72+1)^1.5/(3.52*(Weather_Site!J72+1)^1.5+Weather_Site!I72-1)&gt;10, 10,0.191*(Weather_Site!K72+104)*(Weather_Site!J72+1)^1.5/(3.52*(Weather_Site!J72+1)^1.5+Weather_Site!I72-1)))</f>
        <v>7.882539682539683</v>
      </c>
      <c r="N69" s="51">
        <f t="shared" si="4"/>
        <v>22.775761430845847</v>
      </c>
      <c r="O69" s="52">
        <f t="shared" si="5"/>
        <v>655.94192920836031</v>
      </c>
      <c r="P69" s="52">
        <f t="shared" si="6"/>
        <v>507.08176484784252</v>
      </c>
      <c r="Q69" s="51">
        <f t="shared" si="7"/>
        <v>12.287245079708685</v>
      </c>
      <c r="R69" s="53">
        <f t="shared" si="8"/>
        <v>1855.7718368658414</v>
      </c>
      <c r="S69" s="53">
        <f t="shared" si="9"/>
        <v>6411.8191142318192</v>
      </c>
      <c r="T69" s="53">
        <f t="shared" si="10"/>
        <v>35187.657142857141</v>
      </c>
      <c r="U69" s="51">
        <f t="shared" si="11"/>
        <v>3.8540943815178244</v>
      </c>
      <c r="V69" s="52">
        <f t="shared" si="12"/>
        <v>3.6666666666666665</v>
      </c>
      <c r="W69" s="52">
        <f t="shared" si="13"/>
        <v>9.1666666666666679</v>
      </c>
      <c r="X69" s="51">
        <f t="shared" si="14"/>
        <v>17.607005723883422</v>
      </c>
      <c r="Y69" s="51">
        <f t="shared" si="15"/>
        <v>3.196800000000001</v>
      </c>
      <c r="Z69" s="51" t="e">
        <f>IF(Use_BOM_DF,M69/10,MIN(0.972+(0.342*LN(Weather_Site!J72))-(0.245*LN(Weather_Site!I72)),1))</f>
        <v>#NUM!</v>
      </c>
      <c r="AA69" s="52" t="e">
        <f t="shared" si="16"/>
        <v>#NUM!</v>
      </c>
      <c r="AB69" s="52" t="e">
        <f t="shared" si="17"/>
        <v>#NUM!</v>
      </c>
      <c r="AC69" s="52" t="e">
        <f t="shared" si="18"/>
        <v>#NUM!</v>
      </c>
      <c r="AD69" s="51" t="e">
        <f t="shared" si="19"/>
        <v>#NUM!</v>
      </c>
      <c r="AE69" s="51" t="e">
        <f t="shared" si="20"/>
        <v>#NUM!</v>
      </c>
      <c r="AF69" s="53" t="e">
        <f t="shared" si="21"/>
        <v>#NUM!</v>
      </c>
      <c r="AG69" s="323">
        <f t="shared" si="22"/>
        <v>20.873529177928479</v>
      </c>
    </row>
    <row r="70" spans="1:33" x14ac:dyDescent="0.25">
      <c r="A70" s="23" t="str">
        <f>Weather_Site!A73</f>
        <v>Tue</v>
      </c>
      <c r="B70" s="24">
        <f>Weather_Site!B73</f>
        <v>44551</v>
      </c>
      <c r="C70" s="25">
        <f>Weather_Site!C73</f>
        <v>0.70833333333333337</v>
      </c>
      <c r="D70" s="27">
        <f>Weather_Site!D73</f>
        <v>34</v>
      </c>
      <c r="E70" s="27">
        <f>Weather_Site!E73</f>
        <v>14.5</v>
      </c>
      <c r="F70" s="28">
        <f>Weather_Site!F73</f>
        <v>218</v>
      </c>
      <c r="G70" s="27">
        <f>Weather_Site!G73</f>
        <v>10</v>
      </c>
      <c r="H70" s="27">
        <f>IF(Weather_Site!M73&lt;180,Weather_Site!M73+180,Weather_Site!M73-180)</f>
        <v>38</v>
      </c>
      <c r="I70" s="172">
        <f t="shared" si="30"/>
        <v>0</v>
      </c>
      <c r="J70" s="214">
        <f t="shared" si="31"/>
        <v>3</v>
      </c>
      <c r="K70" s="27">
        <f t="shared" si="2"/>
        <v>3.3333333333333335</v>
      </c>
      <c r="L70" s="172">
        <f t="shared" si="32"/>
        <v>24</v>
      </c>
      <c r="M70" s="32">
        <f>IF(Use_BOM_DF,Weather_Site!H73,IF(0.191*(Weather_Site!K73+104)*(Weather_Site!J73+1)^1.5/(3.52*(Weather_Site!J73+1)^1.5+Weather_Site!I73-1)&gt;10, 10,0.191*(Weather_Site!K73+104)*(Weather_Site!J73+1)^1.5/(3.52*(Weather_Site!J73+1)^1.5+Weather_Site!I73-1)))</f>
        <v>7.882539682539683</v>
      </c>
      <c r="N70" s="32">
        <f t="shared" si="4"/>
        <v>23.66286343039982</v>
      </c>
      <c r="O70" s="33">
        <f t="shared" si="5"/>
        <v>681.49046679551486</v>
      </c>
      <c r="P70" s="33">
        <f t="shared" si="6"/>
        <v>539.30553331882766</v>
      </c>
      <c r="Q70" s="32">
        <f t="shared" si="7"/>
        <v>12.619376068341692</v>
      </c>
      <c r="R70" s="42">
        <f t="shared" si="8"/>
        <v>1942.0747968352491</v>
      </c>
      <c r="S70" s="42">
        <f t="shared" si="9"/>
        <v>6661.5555533091147</v>
      </c>
      <c r="T70" s="42">
        <f t="shared" si="10"/>
        <v>35187.657142857141</v>
      </c>
      <c r="U70" s="32">
        <f t="shared" si="11"/>
        <v>3.776865588021189</v>
      </c>
      <c r="V70" s="33">
        <f t="shared" si="12"/>
        <v>3.3333333333333335</v>
      </c>
      <c r="W70" s="33">
        <f t="shared" si="13"/>
        <v>8.3333333333333339</v>
      </c>
      <c r="X70" s="32">
        <f t="shared" si="14"/>
        <v>18.725886573570406</v>
      </c>
      <c r="Y70" s="32">
        <f t="shared" si="15"/>
        <v>2.9315000000000002</v>
      </c>
      <c r="Z70" s="266" t="e">
        <f>IF(Use_BOM_DF,M70/10,MIN(0.972+(0.342*LN(Weather_Site!J73))-(0.245*LN(Weather_Site!I73)),1))</f>
        <v>#NUM!</v>
      </c>
      <c r="AA70" s="33" t="e">
        <f t="shared" si="16"/>
        <v>#NUM!</v>
      </c>
      <c r="AB70" s="33" t="e">
        <f t="shared" si="17"/>
        <v>#NUM!</v>
      </c>
      <c r="AC70" s="33" t="e">
        <f t="shared" si="18"/>
        <v>#NUM!</v>
      </c>
      <c r="AD70" s="32" t="e">
        <f t="shared" si="19"/>
        <v>#NUM!</v>
      </c>
      <c r="AE70" s="32" t="e">
        <f t="shared" si="20"/>
        <v>#NUM!</v>
      </c>
      <c r="AF70" s="42" t="e">
        <f t="shared" si="21"/>
        <v>#NUM!</v>
      </c>
      <c r="AG70" s="83">
        <f t="shared" si="22"/>
        <v>21.276202095560162</v>
      </c>
    </row>
    <row r="71" spans="1:33" x14ac:dyDescent="0.25">
      <c r="A71" s="23" t="str">
        <f>Weather_Site!A74</f>
        <v>Tue</v>
      </c>
      <c r="B71" s="24">
        <f>Weather_Site!B74</f>
        <v>44551</v>
      </c>
      <c r="C71" s="25">
        <f>Weather_Site!C74</f>
        <v>0.75</v>
      </c>
      <c r="D71" s="27">
        <f>Weather_Site!D74</f>
        <v>33.5</v>
      </c>
      <c r="E71" s="27">
        <f>Weather_Site!E74</f>
        <v>15.3</v>
      </c>
      <c r="F71" s="28">
        <f>Weather_Site!F74</f>
        <v>205</v>
      </c>
      <c r="G71" s="27">
        <f>Weather_Site!G74</f>
        <v>12</v>
      </c>
      <c r="H71" s="27">
        <f>IF(Weather_Site!M74&lt;180,Weather_Site!M74+180,Weather_Site!M74-180)</f>
        <v>25</v>
      </c>
      <c r="I71" s="172">
        <f t="shared" si="30"/>
        <v>0</v>
      </c>
      <c r="J71" s="214">
        <f t="shared" si="31"/>
        <v>3</v>
      </c>
      <c r="K71" s="27">
        <f t="shared" si="2"/>
        <v>4</v>
      </c>
      <c r="L71" s="172">
        <f t="shared" si="32"/>
        <v>24</v>
      </c>
      <c r="M71" s="32">
        <f>IF(Use_BOM_DF,Weather_Site!H74,IF(0.191*(Weather_Site!K74+104)*(Weather_Site!J74+1)^1.5/(3.52*(Weather_Site!J74+1)^1.5+Weather_Site!I74-1)&gt;10, 10,0.191*(Weather_Site!K74+104)*(Weather_Site!J74+1)^1.5/(3.52*(Weather_Site!J74+1)^1.5+Weather_Site!I74-1)))</f>
        <v>7.882539682539683</v>
      </c>
      <c r="N71" s="32">
        <f t="shared" si="4"/>
        <v>23.717350652575458</v>
      </c>
      <c r="O71" s="33">
        <f t="shared" si="5"/>
        <v>683.05969879417319</v>
      </c>
      <c r="P71" s="33">
        <f t="shared" si="6"/>
        <v>515.83258361493574</v>
      </c>
      <c r="Q71" s="32">
        <f t="shared" si="7"/>
        <v>12.639776084324252</v>
      </c>
      <c r="R71" s="42">
        <f t="shared" si="8"/>
        <v>1947.3756625267172</v>
      </c>
      <c r="S71" s="42">
        <f t="shared" si="9"/>
        <v>6676.8947644124592</v>
      </c>
      <c r="T71" s="42">
        <f t="shared" si="10"/>
        <v>35187.657142857141</v>
      </c>
      <c r="U71" s="32">
        <f t="shared" si="11"/>
        <v>3.8325057367397037</v>
      </c>
      <c r="V71" s="33">
        <f t="shared" si="12"/>
        <v>4</v>
      </c>
      <c r="W71" s="33">
        <f t="shared" si="13"/>
        <v>10</v>
      </c>
      <c r="X71" s="32">
        <f t="shared" si="14"/>
        <v>17.910853597740825</v>
      </c>
      <c r="Y71" s="32">
        <f t="shared" si="15"/>
        <v>3.1229000000000005</v>
      </c>
      <c r="Z71" s="266" t="e">
        <f>IF(Use_BOM_DF,M71/10,MIN(0.972+(0.342*LN(Weather_Site!J74))-(0.245*LN(Weather_Site!I74)),1))</f>
        <v>#NUM!</v>
      </c>
      <c r="AA71" s="33" t="e">
        <f t="shared" si="16"/>
        <v>#NUM!</v>
      </c>
      <c r="AB71" s="33" t="e">
        <f t="shared" si="17"/>
        <v>#NUM!</v>
      </c>
      <c r="AC71" s="33" t="e">
        <f t="shared" si="18"/>
        <v>#NUM!</v>
      </c>
      <c r="AD71" s="32" t="e">
        <f t="shared" si="19"/>
        <v>#NUM!</v>
      </c>
      <c r="AE71" s="32" t="e">
        <f t="shared" si="20"/>
        <v>#NUM!</v>
      </c>
      <c r="AF71" s="42" t="e">
        <f t="shared" si="21"/>
        <v>#NUM!</v>
      </c>
      <c r="AG71" s="83">
        <f t="shared" si="22"/>
        <v>21.621279533918077</v>
      </c>
    </row>
    <row r="72" spans="1:33" x14ac:dyDescent="0.25">
      <c r="A72" s="23" t="str">
        <f>Weather_Site!A75</f>
        <v>Tue</v>
      </c>
      <c r="B72" s="24">
        <f>Weather_Site!B75</f>
        <v>44551</v>
      </c>
      <c r="C72" s="25">
        <f>Weather_Site!C75</f>
        <v>0.79166666666666663</v>
      </c>
      <c r="D72" s="27">
        <f>Weather_Site!D75</f>
        <v>33.299999999999997</v>
      </c>
      <c r="E72" s="27">
        <f>Weather_Site!E75</f>
        <v>15.4</v>
      </c>
      <c r="F72" s="28">
        <f>Weather_Site!F75</f>
        <v>202</v>
      </c>
      <c r="G72" s="27">
        <f>Weather_Site!G75</f>
        <v>11</v>
      </c>
      <c r="H72" s="27">
        <f>IF(Weather_Site!M75&lt;180,Weather_Site!M75+180,Weather_Site!M75-180)</f>
        <v>22</v>
      </c>
      <c r="I72" s="172">
        <f t="shared" si="30"/>
        <v>0</v>
      </c>
      <c r="J72" s="214">
        <f t="shared" si="31"/>
        <v>3</v>
      </c>
      <c r="K72" s="27">
        <f t="shared" si="2"/>
        <v>3.6666666666666665</v>
      </c>
      <c r="L72" s="172">
        <f t="shared" si="32"/>
        <v>24</v>
      </c>
      <c r="M72" s="32">
        <f>IF(Use_BOM_DF,Weather_Site!H75,IF(0.191*(Weather_Site!K75+104)*(Weather_Site!J75+1)^1.5/(3.52*(Weather_Site!J75+1)^1.5+Weather_Site!I75-1)&gt;10, 10,0.191*(Weather_Site!K75+104)*(Weather_Site!J75+1)^1.5/(3.52*(Weather_Site!J75+1)^1.5+Weather_Site!I75-1)))</f>
        <v>7.882539682539683</v>
      </c>
      <c r="N72" s="32">
        <f t="shared" si="4"/>
        <v>22.933457610880705</v>
      </c>
      <c r="O72" s="33">
        <f t="shared" si="5"/>
        <v>660.48357919336433</v>
      </c>
      <c r="P72" s="33">
        <f t="shared" si="6"/>
        <v>510.59272791815016</v>
      </c>
      <c r="Q72" s="32">
        <f t="shared" si="7"/>
        <v>12.346286529513735</v>
      </c>
      <c r="R72" s="42">
        <f t="shared" si="8"/>
        <v>1871.1135305151849</v>
      </c>
      <c r="S72" s="42">
        <f t="shared" si="9"/>
        <v>6456.2136511371573</v>
      </c>
      <c r="T72" s="42">
        <f t="shared" si="10"/>
        <v>35187.657142857141</v>
      </c>
      <c r="U72" s="32">
        <f t="shared" si="11"/>
        <v>3.8422874768115962</v>
      </c>
      <c r="V72" s="33">
        <f t="shared" si="12"/>
        <v>3.6666666666666665</v>
      </c>
      <c r="W72" s="33">
        <f t="shared" si="13"/>
        <v>9.1666666666666679</v>
      </c>
      <c r="X72" s="32">
        <f t="shared" si="14"/>
        <v>17.728914163824662</v>
      </c>
      <c r="Y72" s="32">
        <f t="shared" si="15"/>
        <v>3.1702000000000008</v>
      </c>
      <c r="Z72" s="266" t="e">
        <f>IF(Use_BOM_DF,M72/10,MIN(0.972+(0.342*LN(Weather_Site!J75))-(0.245*LN(Weather_Site!I75)),1))</f>
        <v>#NUM!</v>
      </c>
      <c r="AA72" s="33" t="e">
        <f t="shared" si="16"/>
        <v>#NUM!</v>
      </c>
      <c r="AB72" s="33" t="e">
        <f t="shared" si="17"/>
        <v>#NUM!</v>
      </c>
      <c r="AC72" s="33" t="e">
        <f t="shared" si="18"/>
        <v>#NUM!</v>
      </c>
      <c r="AD72" s="32" t="e">
        <f t="shared" si="19"/>
        <v>#NUM!</v>
      </c>
      <c r="AE72" s="32" t="e">
        <f t="shared" si="20"/>
        <v>#NUM!</v>
      </c>
      <c r="AF72" s="42" t="e">
        <f t="shared" si="21"/>
        <v>#NUM!</v>
      </c>
      <c r="AG72" s="83">
        <f t="shared" si="22"/>
        <v>21.008454925010515</v>
      </c>
    </row>
    <row r="73" spans="1:33" x14ac:dyDescent="0.25">
      <c r="A73" s="23" t="str">
        <f>Weather_Site!A76</f>
        <v>Tue</v>
      </c>
      <c r="B73" s="24">
        <f>Weather_Site!B76</f>
        <v>44551</v>
      </c>
      <c r="C73" s="25">
        <f>Weather_Site!C76</f>
        <v>0.83333333333333337</v>
      </c>
      <c r="D73" s="27">
        <f>Weather_Site!D76</f>
        <v>32.200000000000003</v>
      </c>
      <c r="E73" s="27">
        <f>Weather_Site!E76</f>
        <v>17.600000000000001</v>
      </c>
      <c r="F73" s="28">
        <f>Weather_Site!F76</f>
        <v>206</v>
      </c>
      <c r="G73" s="27">
        <f>Weather_Site!G76</f>
        <v>11</v>
      </c>
      <c r="H73" s="27">
        <f>IF(Weather_Site!M76&lt;180,Weather_Site!M76+180,Weather_Site!M76-180)</f>
        <v>26</v>
      </c>
      <c r="I73" s="172">
        <f t="shared" si="30"/>
        <v>0</v>
      </c>
      <c r="J73" s="214">
        <f t="shared" si="31"/>
        <v>3</v>
      </c>
      <c r="K73" s="27">
        <f t="shared" si="2"/>
        <v>3.6666666666666665</v>
      </c>
      <c r="L73" s="172">
        <f t="shared" si="32"/>
        <v>24</v>
      </c>
      <c r="M73" s="32">
        <f>IF(Use_BOM_DF,Weather_Site!H76,IF(0.191*(Weather_Site!K76+104)*(Weather_Site!J76+1)^1.5/(3.52*(Weather_Site!J76+1)^1.5+Weather_Site!I76-1)&gt;10, 10,0.191*(Weather_Site!K76+104)*(Weather_Site!J76+1)^1.5/(3.52*(Weather_Site!J76+1)^1.5+Weather_Site!I76-1)))</f>
        <v>7.882539682539683</v>
      </c>
      <c r="N73" s="32">
        <f t="shared" si="4"/>
        <v>20.481394226820413</v>
      </c>
      <c r="O73" s="33">
        <f t="shared" si="5"/>
        <v>589.86415373242789</v>
      </c>
      <c r="P73" s="33">
        <f t="shared" si="6"/>
        <v>455.99975055125094</v>
      </c>
      <c r="Q73" s="32">
        <f t="shared" si="7"/>
        <v>11.428233998521563</v>
      </c>
      <c r="R73" s="42">
        <f t="shared" si="8"/>
        <v>1632.5611113081413</v>
      </c>
      <c r="S73" s="42">
        <f t="shared" si="9"/>
        <v>5765.9101930963325</v>
      </c>
      <c r="T73" s="42">
        <f t="shared" si="10"/>
        <v>35187.657142857141</v>
      </c>
      <c r="U73" s="32">
        <f t="shared" si="11"/>
        <v>3.9997797748986867</v>
      </c>
      <c r="V73" s="33">
        <f t="shared" si="12"/>
        <v>3.6666666666666665</v>
      </c>
      <c r="W73" s="33">
        <f t="shared" si="13"/>
        <v>9.1666666666666679</v>
      </c>
      <c r="X73" s="32">
        <f t="shared" si="14"/>
        <v>15.833324671918437</v>
      </c>
      <c r="Y73" s="32">
        <f t="shared" si="15"/>
        <v>3.6497999999999995</v>
      </c>
      <c r="Z73" s="266" t="e">
        <f>IF(Use_BOM_DF,M73/10,MIN(0.972+(0.342*LN(Weather_Site!J76))-(0.245*LN(Weather_Site!I76)),1))</f>
        <v>#NUM!</v>
      </c>
      <c r="AA73" s="33" t="e">
        <f t="shared" si="16"/>
        <v>#NUM!</v>
      </c>
      <c r="AB73" s="33" t="e">
        <f t="shared" si="17"/>
        <v>#NUM!</v>
      </c>
      <c r="AC73" s="33" t="e">
        <f t="shared" si="18"/>
        <v>#NUM!</v>
      </c>
      <c r="AD73" s="32" t="e">
        <f t="shared" si="19"/>
        <v>#NUM!</v>
      </c>
      <c r="AE73" s="32" t="e">
        <f t="shared" si="20"/>
        <v>#NUM!</v>
      </c>
      <c r="AF73" s="42" t="e">
        <f t="shared" si="21"/>
        <v>#NUM!</v>
      </c>
      <c r="AG73" s="83">
        <f t="shared" si="22"/>
        <v>19.308878122205446</v>
      </c>
    </row>
    <row r="74" spans="1:33" x14ac:dyDescent="0.25">
      <c r="A74" s="23" t="str">
        <f>Weather_Site!A77</f>
        <v>Tue</v>
      </c>
      <c r="B74" s="24">
        <f>Weather_Site!B77</f>
        <v>44551</v>
      </c>
      <c r="C74" s="25">
        <f>Weather_Site!C77</f>
        <v>0.875</v>
      </c>
      <c r="D74" s="27">
        <f>Weather_Site!D77</f>
        <v>29.1</v>
      </c>
      <c r="E74" s="27">
        <f>Weather_Site!E77</f>
        <v>23.4</v>
      </c>
      <c r="F74" s="28">
        <f>Weather_Site!F77</f>
        <v>199</v>
      </c>
      <c r="G74" s="27">
        <f>Weather_Site!G77</f>
        <v>9</v>
      </c>
      <c r="H74" s="27">
        <f>IF(Weather_Site!M77&lt;180,Weather_Site!M77+180,Weather_Site!M77-180)</f>
        <v>19</v>
      </c>
      <c r="I74" s="172">
        <f t="shared" si="30"/>
        <v>0</v>
      </c>
      <c r="J74" s="214">
        <f t="shared" si="31"/>
        <v>3</v>
      </c>
      <c r="K74" s="27">
        <f t="shared" ref="K74:K137" si="33">G74/J74</f>
        <v>3</v>
      </c>
      <c r="L74" s="172">
        <f t="shared" si="32"/>
        <v>24</v>
      </c>
      <c r="M74" s="32">
        <f>IF(Use_BOM_DF,Weather_Site!H77,IF(0.191*(Weather_Site!K77+104)*(Weather_Site!J77+1)^1.5/(3.52*(Weather_Site!J77+1)^1.5+Weather_Site!I77-1)&gt;10, 10,0.191*(Weather_Site!K77+104)*(Weather_Site!J77+1)^1.5/(3.52*(Weather_Site!J77+1)^1.5+Weather_Site!I77-1)))</f>
        <v>7.882539682539683</v>
      </c>
      <c r="N74" s="32">
        <f t="shared" ref="N74:N137" si="34">2*EXP(-0.45+0.987*LN(M74)-0.0345*E74+0.0338*D74+0.0234*G74*3/J74)</f>
        <v>14.408767498032946</v>
      </c>
      <c r="O74" s="33">
        <f t="shared" ref="O74:O137" si="35">0.0012*N74*L74*EXP(0.069*I74)*1000</f>
        <v>414.97250394334884</v>
      </c>
      <c r="P74" s="33">
        <f t="shared" ref="P74:P137" si="36">0.0012*X74*L74*EXP(0.069*0)*1000</f>
        <v>336.16841263727935</v>
      </c>
      <c r="Q74" s="32">
        <f t="shared" ref="Q74:Q137" si="37">(13*O74/EXP(0.069*I74)/1000+0.24*L74-2)</f>
        <v>9.1546425512635352</v>
      </c>
      <c r="R74" s="42">
        <f t="shared" ref="R74:R137" si="38">IF((O74/1000*(4.17-0.033*L74)-0.36)*1000&lt;0,0,(O74/1000*(4.17-0.033*L74)-0.36)*1000)</f>
        <v>1041.7771183206326</v>
      </c>
      <c r="S74" s="42">
        <f t="shared" ref="S74:S137" si="39">516.7*L74*M74/10*O74/1000</f>
        <v>4056.347847553775</v>
      </c>
      <c r="T74" s="42">
        <f t="shared" ref="T74:T137" si="40">1860*L74*M74/10</f>
        <v>35187.657142857141</v>
      </c>
      <c r="U74" s="32">
        <f t="shared" ref="U74:U137" si="41">3.033808*EXP(E74*(-0.00033169*D74+0.02638614))</f>
        <v>4.4879376859372204</v>
      </c>
      <c r="V74" s="33">
        <f t="shared" ref="V74:V137" si="42">G74/3</f>
        <v>3</v>
      </c>
      <c r="W74" s="33">
        <f t="shared" ref="W74:W137" si="43">G74/1.2</f>
        <v>7.5</v>
      </c>
      <c r="X74" s="32">
        <f t="shared" ref="X74:X137" si="44">2*EXP(-0.45+0.987*LN(M74)-0.0345*E74+0.0338*D74+0.0234*0)</f>
        <v>11.672514327683313</v>
      </c>
      <c r="Y74" s="32">
        <f t="shared" ref="Y74:Y137" si="45">IF(HOUR(C74)&lt;12,12.519-(0.282*D74)+(0.112*E74),6.783-(0.17*D74)+(0.133*E74))</f>
        <v>4.9481999999999999</v>
      </c>
      <c r="Z74" s="266" t="e">
        <f>IF(Use_BOM_DF,M74/10,MIN(0.972+(0.342*LN(Weather_Site!J77))-(0.245*LN(Weather_Site!I77)),1))</f>
        <v>#NUM!</v>
      </c>
      <c r="AA74" s="33" t="e">
        <f t="shared" ref="AA74:AA137" si="46">(0.22*L74*EXP(0.158*(1.674+0.179*G74)-0.227*Y74))*Z74*60</f>
        <v>#NUM!</v>
      </c>
      <c r="AB74" s="33" t="e">
        <f t="shared" ref="AB74:AB137" si="47">AA74*EXP(0.0662*I74)</f>
        <v>#NUM!</v>
      </c>
      <c r="AC74" s="33" t="e">
        <f t="shared" ref="AC74:AC137" si="48">(0.22*L74*EXP(0.158*0-0.227*Y74))*Z74*60</f>
        <v>#NUM!</v>
      </c>
      <c r="AD74" s="32" t="e">
        <f t="shared" ref="AD74:AD137" si="49">0.3048*31.7537*(1-EXP(-0.31772*AB74/18.3))*(1-EXP(-(0.03644*1.1289^(AB74/18.3))*(Z74*L74/2.2417)))</f>
        <v>#NUM!</v>
      </c>
      <c r="AE74" s="32" t="e">
        <f t="shared" ref="AE74:AE137" si="50">IF(D74&lt;20,-2.19+(2.23*SQRT(AA74)),-0.296+(2.23*SQRT(AA74)))</f>
        <v>#NUM!</v>
      </c>
      <c r="AF74" s="42" t="e">
        <f t="shared" ref="AF74:AF137" si="51">18000*(L74*Z74)*AB74/36000</f>
        <v>#NUM!</v>
      </c>
      <c r="AG74" s="83">
        <f t="shared" ref="AG74:AG137" si="52">34.8 * M74 * EXP(0.0234 * G74) * U74 ^ -2.1</f>
        <v>14.468033623127065</v>
      </c>
    </row>
    <row r="75" spans="1:33" x14ac:dyDescent="0.25">
      <c r="A75" s="45" t="str">
        <f>Weather_Site!A78</f>
        <v>Tue</v>
      </c>
      <c r="B75" s="46">
        <f>Weather_Site!B78</f>
        <v>44551</v>
      </c>
      <c r="C75" s="47">
        <f>Weather_Site!C78</f>
        <v>0.91666666666666663</v>
      </c>
      <c r="D75" s="48">
        <f>Weather_Site!D78</f>
        <v>26.6</v>
      </c>
      <c r="E75" s="48">
        <f>Weather_Site!E78</f>
        <v>28</v>
      </c>
      <c r="F75" s="49">
        <f>Weather_Site!F78</f>
        <v>192</v>
      </c>
      <c r="G75" s="48">
        <f>Weather_Site!G78</f>
        <v>8</v>
      </c>
      <c r="H75" s="48">
        <f>IF(Weather_Site!M78&lt;180,Weather_Site!M78+180,Weather_Site!M78-180)</f>
        <v>12</v>
      </c>
      <c r="I75" s="172">
        <f t="shared" si="30"/>
        <v>0</v>
      </c>
      <c r="J75" s="214">
        <f t="shared" si="31"/>
        <v>3</v>
      </c>
      <c r="K75" s="48">
        <f t="shared" si="33"/>
        <v>2.6666666666666665</v>
      </c>
      <c r="L75" s="172">
        <f t="shared" si="32"/>
        <v>24</v>
      </c>
      <c r="M75" s="51">
        <f>IF(Use_BOM_DF,Weather_Site!H78,IF(0.191*(Weather_Site!K78+104)*(Weather_Site!J78+1)^1.5/(3.52*(Weather_Site!J78+1)^1.5+Weather_Site!I78-1)&gt;10, 10,0.191*(Weather_Site!K78+104)*(Weather_Site!J78+1)^1.5/(3.52*(Weather_Site!J78+1)^1.5+Weather_Site!I78-1)))</f>
        <v>7.882539682539683</v>
      </c>
      <c r="N75" s="51">
        <f t="shared" si="34"/>
        <v>11.036819111065949</v>
      </c>
      <c r="O75" s="52">
        <f t="shared" si="35"/>
        <v>317.86039039869928</v>
      </c>
      <c r="P75" s="52">
        <f t="shared" si="36"/>
        <v>263.59458567184276</v>
      </c>
      <c r="Q75" s="51">
        <f t="shared" si="37"/>
        <v>7.8921850751830895</v>
      </c>
      <c r="R75" s="53">
        <f t="shared" si="38"/>
        <v>713.73239876680611</v>
      </c>
      <c r="S75" s="53">
        <f t="shared" si="39"/>
        <v>3107.0788983946418</v>
      </c>
      <c r="T75" s="53">
        <f t="shared" si="40"/>
        <v>35187.657142857141</v>
      </c>
      <c r="U75" s="51">
        <f t="shared" si="41"/>
        <v>4.9609031166344293</v>
      </c>
      <c r="V75" s="52">
        <f t="shared" si="42"/>
        <v>2.6666666666666665</v>
      </c>
      <c r="W75" s="52">
        <f t="shared" si="43"/>
        <v>6.666666666666667</v>
      </c>
      <c r="X75" s="51">
        <f t="shared" si="44"/>
        <v>9.1525897802723186</v>
      </c>
      <c r="Y75" s="51">
        <f t="shared" si="45"/>
        <v>5.9850000000000003</v>
      </c>
      <c r="Z75" s="51" t="e">
        <f>IF(Use_BOM_DF,M75/10,MIN(0.972+(0.342*LN(Weather_Site!J78))-(0.245*LN(Weather_Site!I78)),1))</f>
        <v>#NUM!</v>
      </c>
      <c r="AA75" s="52" t="e">
        <f t="shared" si="46"/>
        <v>#NUM!</v>
      </c>
      <c r="AB75" s="52" t="e">
        <f t="shared" si="47"/>
        <v>#NUM!</v>
      </c>
      <c r="AC75" s="52" t="e">
        <f t="shared" si="48"/>
        <v>#NUM!</v>
      </c>
      <c r="AD75" s="51" t="e">
        <f t="shared" si="49"/>
        <v>#NUM!</v>
      </c>
      <c r="AE75" s="51" t="e">
        <f t="shared" si="50"/>
        <v>#NUM!</v>
      </c>
      <c r="AF75" s="53" t="e">
        <f t="shared" si="51"/>
        <v>#NUM!</v>
      </c>
      <c r="AG75" s="323">
        <f t="shared" si="52"/>
        <v>11.45164221712473</v>
      </c>
    </row>
    <row r="76" spans="1:33" x14ac:dyDescent="0.25">
      <c r="A76" s="45" t="str">
        <f>Weather_Site!A79</f>
        <v>Tue</v>
      </c>
      <c r="B76" s="46">
        <f>Weather_Site!B79</f>
        <v>44551</v>
      </c>
      <c r="C76" s="47">
        <f>Weather_Site!C79</f>
        <v>0.95833333333333337</v>
      </c>
      <c r="D76" s="48">
        <f>Weather_Site!D79</f>
        <v>24.5</v>
      </c>
      <c r="E76" s="48">
        <f>Weather_Site!E79</f>
        <v>31.5</v>
      </c>
      <c r="F76" s="49">
        <f>Weather_Site!F79</f>
        <v>185</v>
      </c>
      <c r="G76" s="48">
        <f>Weather_Site!G79</f>
        <v>7</v>
      </c>
      <c r="H76" s="48">
        <f>IF(Weather_Site!M79&lt;180,Weather_Site!M79+180,Weather_Site!M79-180)</f>
        <v>5</v>
      </c>
      <c r="I76" s="172">
        <f t="shared" si="30"/>
        <v>0</v>
      </c>
      <c r="J76" s="214">
        <f t="shared" si="31"/>
        <v>3</v>
      </c>
      <c r="K76" s="48">
        <f t="shared" si="33"/>
        <v>2.3333333333333335</v>
      </c>
      <c r="L76" s="172">
        <f t="shared" si="32"/>
        <v>24</v>
      </c>
      <c r="M76" s="51">
        <f>IF(Use_BOM_DF,Weather_Site!H79,IF(0.191*(Weather_Site!K79+104)*(Weather_Site!J79+1)^1.5/(3.52*(Weather_Site!J79+1)^1.5+Weather_Site!I79-1)&gt;10, 10,0.191*(Weather_Site!K79+104)*(Weather_Site!J79+1)^1.5/(3.52*(Weather_Site!J79+1)^1.5+Weather_Site!I79-1)))</f>
        <v>7.882539682539683</v>
      </c>
      <c r="N76" s="51">
        <f t="shared" si="34"/>
        <v>8.9004948412739679</v>
      </c>
      <c r="O76" s="52">
        <f t="shared" si="35"/>
        <v>256.33425142869027</v>
      </c>
      <c r="P76" s="52">
        <f t="shared" si="36"/>
        <v>217.60516751642595</v>
      </c>
      <c r="Q76" s="51">
        <f t="shared" si="37"/>
        <v>7.0923452685729735</v>
      </c>
      <c r="R76" s="53">
        <f t="shared" si="38"/>
        <v>505.89710132611577</v>
      </c>
      <c r="S76" s="53">
        <f t="shared" si="39"/>
        <v>2505.6621322048472</v>
      </c>
      <c r="T76" s="53">
        <f t="shared" si="40"/>
        <v>35187.657142857141</v>
      </c>
      <c r="U76" s="51">
        <f t="shared" si="41"/>
        <v>5.3924522730688711</v>
      </c>
      <c r="V76" s="52">
        <f t="shared" si="42"/>
        <v>2.3333333333333335</v>
      </c>
      <c r="W76" s="52">
        <f t="shared" si="43"/>
        <v>5.8333333333333339</v>
      </c>
      <c r="X76" s="51">
        <f t="shared" si="44"/>
        <v>7.5557349832092342</v>
      </c>
      <c r="Y76" s="51">
        <f t="shared" si="45"/>
        <v>6.807500000000001</v>
      </c>
      <c r="Z76" s="51" t="e">
        <f>IF(Use_BOM_DF,M76/10,MIN(0.972+(0.342*LN(Weather_Site!J79))-(0.245*LN(Weather_Site!I79)),1))</f>
        <v>#NUM!</v>
      </c>
      <c r="AA76" s="52" t="e">
        <f t="shared" si="46"/>
        <v>#NUM!</v>
      </c>
      <c r="AB76" s="52" t="e">
        <f t="shared" si="47"/>
        <v>#NUM!</v>
      </c>
      <c r="AC76" s="52" t="e">
        <f t="shared" si="48"/>
        <v>#NUM!</v>
      </c>
      <c r="AD76" s="51" t="e">
        <f t="shared" si="49"/>
        <v>#NUM!</v>
      </c>
      <c r="AE76" s="51" t="e">
        <f t="shared" si="50"/>
        <v>#NUM!</v>
      </c>
      <c r="AF76" s="53" t="e">
        <f t="shared" si="51"/>
        <v>#NUM!</v>
      </c>
      <c r="AG76" s="323">
        <f t="shared" si="52"/>
        <v>9.3892649619367798</v>
      </c>
    </row>
    <row r="77" spans="1:33" x14ac:dyDescent="0.25">
      <c r="A77" s="45" t="str">
        <f>Weather_Site!A80</f>
        <v>Wed</v>
      </c>
      <c r="B77" s="46">
        <f>Weather_Site!B80</f>
        <v>44552</v>
      </c>
      <c r="C77" s="47">
        <f>Weather_Site!C80</f>
        <v>0</v>
      </c>
      <c r="D77" s="48">
        <f>Weather_Site!D80</f>
        <v>23.6</v>
      </c>
      <c r="E77" s="48">
        <f>Weather_Site!E80</f>
        <v>34</v>
      </c>
      <c r="F77" s="49">
        <f>Weather_Site!F80</f>
        <v>182</v>
      </c>
      <c r="G77" s="48">
        <f>Weather_Site!G80</f>
        <v>7</v>
      </c>
      <c r="H77" s="48">
        <f>IF(Weather_Site!M80&lt;180,Weather_Site!M80+180,Weather_Site!M80-180)</f>
        <v>2</v>
      </c>
      <c r="I77" s="172">
        <f t="shared" si="30"/>
        <v>0</v>
      </c>
      <c r="J77" s="214">
        <f t="shared" si="31"/>
        <v>3</v>
      </c>
      <c r="K77" s="48">
        <f t="shared" si="33"/>
        <v>2.3333333333333335</v>
      </c>
      <c r="L77" s="172">
        <f t="shared" si="32"/>
        <v>24</v>
      </c>
      <c r="M77" s="51">
        <f>IF(Use_BOM_DF,Weather_Site!H80,IF(0.191*(Weather_Site!K80+104)*(Weather_Site!J80+1)^1.5/(3.52*(Weather_Site!J80+1)^1.5+Weather_Site!I80-1)&gt;10, 10,0.191*(Weather_Site!K80+104)*(Weather_Site!J80+1)^1.5/(3.52*(Weather_Site!J80+1)^1.5+Weather_Site!I80-1)))</f>
        <v>7.882539682539683</v>
      </c>
      <c r="N77" s="51">
        <f t="shared" si="34"/>
        <v>7.9203617107729443</v>
      </c>
      <c r="O77" s="52">
        <f t="shared" si="35"/>
        <v>228.10641727026078</v>
      </c>
      <c r="P77" s="52">
        <f t="shared" si="36"/>
        <v>193.642226370499</v>
      </c>
      <c r="Q77" s="51">
        <f t="shared" si="37"/>
        <v>6.7253834245133906</v>
      </c>
      <c r="R77" s="53">
        <f t="shared" si="38"/>
        <v>410.54347753894092</v>
      </c>
      <c r="S77" s="53">
        <f t="shared" si="39"/>
        <v>2229.7356232396128</v>
      </c>
      <c r="T77" s="53">
        <f t="shared" si="40"/>
        <v>35187.657142857141</v>
      </c>
      <c r="U77" s="51">
        <f t="shared" si="41"/>
        <v>5.7018991304505375</v>
      </c>
      <c r="V77" s="52">
        <f t="shared" si="42"/>
        <v>2.3333333333333335</v>
      </c>
      <c r="W77" s="52">
        <f t="shared" si="43"/>
        <v>5.8333333333333339</v>
      </c>
      <c r="X77" s="51">
        <f t="shared" si="44"/>
        <v>6.7236884156423269</v>
      </c>
      <c r="Y77" s="51">
        <f t="shared" si="45"/>
        <v>9.6718000000000011</v>
      </c>
      <c r="Z77" s="51" t="e">
        <f>IF(Use_BOM_DF,M77/10,MIN(0.972+(0.342*LN(Weather_Site!J80))-(0.245*LN(Weather_Site!I80)),1))</f>
        <v>#NUM!</v>
      </c>
      <c r="AA77" s="52" t="e">
        <f t="shared" si="46"/>
        <v>#NUM!</v>
      </c>
      <c r="AB77" s="52" t="e">
        <f t="shared" si="47"/>
        <v>#NUM!</v>
      </c>
      <c r="AC77" s="52" t="e">
        <f t="shared" si="48"/>
        <v>#NUM!</v>
      </c>
      <c r="AD77" s="51" t="e">
        <f t="shared" si="49"/>
        <v>#NUM!</v>
      </c>
      <c r="AE77" s="51" t="e">
        <f t="shared" si="50"/>
        <v>#NUM!</v>
      </c>
      <c r="AF77" s="53" t="e">
        <f t="shared" si="51"/>
        <v>#NUM!</v>
      </c>
      <c r="AG77" s="323">
        <f t="shared" si="52"/>
        <v>8.351064394985972</v>
      </c>
    </row>
    <row r="78" spans="1:33" x14ac:dyDescent="0.25">
      <c r="A78" s="45" t="str">
        <f>Weather_Site!A81</f>
        <v>Wed</v>
      </c>
      <c r="B78" s="46">
        <f>Weather_Site!B81</f>
        <v>44552</v>
      </c>
      <c r="C78" s="47">
        <f>Weather_Site!C81</f>
        <v>4.1666666666666664E-2</v>
      </c>
      <c r="D78" s="48">
        <f>Weather_Site!D81</f>
        <v>22.5</v>
      </c>
      <c r="E78" s="48">
        <f>Weather_Site!E81</f>
        <v>35.6</v>
      </c>
      <c r="F78" s="49">
        <f>Weather_Site!F81</f>
        <v>196</v>
      </c>
      <c r="G78" s="48">
        <f>Weather_Site!G81</f>
        <v>9</v>
      </c>
      <c r="H78" s="48">
        <f>IF(Weather_Site!M81&lt;180,Weather_Site!M81+180,Weather_Site!M81-180)</f>
        <v>16</v>
      </c>
      <c r="I78" s="172">
        <f t="shared" si="30"/>
        <v>0</v>
      </c>
      <c r="J78" s="214">
        <f t="shared" si="31"/>
        <v>3</v>
      </c>
      <c r="K78" s="48">
        <f t="shared" si="33"/>
        <v>3</v>
      </c>
      <c r="L78" s="172">
        <f t="shared" si="32"/>
        <v>24</v>
      </c>
      <c r="M78" s="51">
        <f>IF(Use_BOM_DF,Weather_Site!H81,IF(0.191*(Weather_Site!K81+104)*(Weather_Site!J81+1)^1.5/(3.52*(Weather_Site!J81+1)^1.5+Weather_Site!I81-1)&gt;10, 10,0.191*(Weather_Site!K81+104)*(Weather_Site!J81+1)^1.5/(3.52*(Weather_Site!J81+1)^1.5+Weather_Site!I81-1)))</f>
        <v>7.882539682539683</v>
      </c>
      <c r="N78" s="51">
        <f t="shared" si="34"/>
        <v>7.5674554534511094</v>
      </c>
      <c r="O78" s="52">
        <f t="shared" si="35"/>
        <v>217.94271705939195</v>
      </c>
      <c r="P78" s="52">
        <f t="shared" si="36"/>
        <v>176.55496820510675</v>
      </c>
      <c r="Q78" s="51">
        <f t="shared" si="37"/>
        <v>6.5932553217720944</v>
      </c>
      <c r="R78" s="53">
        <f t="shared" si="38"/>
        <v>376.21049822662599</v>
      </c>
      <c r="S78" s="53">
        <f t="shared" si="39"/>
        <v>2130.3856588883173</v>
      </c>
      <c r="T78" s="53">
        <f t="shared" si="40"/>
        <v>35187.657142857141</v>
      </c>
      <c r="U78" s="51">
        <f t="shared" si="41"/>
        <v>5.9505371341429978</v>
      </c>
      <c r="V78" s="52">
        <f t="shared" si="42"/>
        <v>3</v>
      </c>
      <c r="W78" s="52">
        <f t="shared" si="43"/>
        <v>7.5</v>
      </c>
      <c r="X78" s="51">
        <f t="shared" si="44"/>
        <v>6.1303808404550963</v>
      </c>
      <c r="Y78" s="51">
        <f t="shared" si="45"/>
        <v>10.161200000000001</v>
      </c>
      <c r="Z78" s="51" t="e">
        <f>IF(Use_BOM_DF,M78/10,MIN(0.972+(0.342*LN(Weather_Site!J81))-(0.245*LN(Weather_Site!I81)),1))</f>
        <v>#NUM!</v>
      </c>
      <c r="AA78" s="52" t="e">
        <f t="shared" si="46"/>
        <v>#NUM!</v>
      </c>
      <c r="AB78" s="52" t="e">
        <f t="shared" si="47"/>
        <v>#NUM!</v>
      </c>
      <c r="AC78" s="52" t="e">
        <f t="shared" si="48"/>
        <v>#NUM!</v>
      </c>
      <c r="AD78" s="51" t="e">
        <f t="shared" si="49"/>
        <v>#NUM!</v>
      </c>
      <c r="AE78" s="51" t="e">
        <f t="shared" si="50"/>
        <v>#NUM!</v>
      </c>
      <c r="AF78" s="53" t="e">
        <f t="shared" si="51"/>
        <v>#NUM!</v>
      </c>
      <c r="AG78" s="323">
        <f t="shared" si="52"/>
        <v>8.0009189528749314</v>
      </c>
    </row>
    <row r="79" spans="1:33" x14ac:dyDescent="0.25">
      <c r="A79" s="45" t="str">
        <f>Weather_Site!A82</f>
        <v>Wed</v>
      </c>
      <c r="B79" s="46">
        <f>Weather_Site!B82</f>
        <v>44552</v>
      </c>
      <c r="C79" s="47">
        <f>Weather_Site!C82</f>
        <v>8.3333333333333329E-2</v>
      </c>
      <c r="D79" s="48">
        <f>Weather_Site!D82</f>
        <v>21.6</v>
      </c>
      <c r="E79" s="48">
        <f>Weather_Site!E82</f>
        <v>37.299999999999997</v>
      </c>
      <c r="F79" s="49">
        <f>Weather_Site!F82</f>
        <v>179</v>
      </c>
      <c r="G79" s="48">
        <f>Weather_Site!G82</f>
        <v>11</v>
      </c>
      <c r="H79" s="48">
        <f>IF(Weather_Site!M82&lt;180,Weather_Site!M82+180,Weather_Site!M82-180)</f>
        <v>359</v>
      </c>
      <c r="I79" s="172">
        <f t="shared" si="30"/>
        <v>0</v>
      </c>
      <c r="J79" s="214">
        <f t="shared" si="31"/>
        <v>3</v>
      </c>
      <c r="K79" s="48">
        <f t="shared" si="33"/>
        <v>3.6666666666666665</v>
      </c>
      <c r="L79" s="172">
        <f t="shared" si="32"/>
        <v>24</v>
      </c>
      <c r="M79" s="51">
        <f>IF(Use_BOM_DF,Weather_Site!H82,IF(0.191*(Weather_Site!K82+104)*(Weather_Site!J82+1)^1.5/(3.52*(Weather_Site!J82+1)^1.5+Weather_Site!I82-1)&gt;10, 10,0.191*(Weather_Site!K82+104)*(Weather_Site!J82+1)^1.5/(3.52*(Weather_Site!J82+1)^1.5+Weather_Site!I82-1)))</f>
        <v>7.882539682539683</v>
      </c>
      <c r="N79" s="51">
        <f t="shared" si="34"/>
        <v>7.254245439433026</v>
      </c>
      <c r="O79" s="52">
        <f t="shared" si="35"/>
        <v>208.92226865567116</v>
      </c>
      <c r="P79" s="52">
        <f t="shared" si="36"/>
        <v>161.50922511355529</v>
      </c>
      <c r="Q79" s="51">
        <f t="shared" si="37"/>
        <v>6.4759894925237251</v>
      </c>
      <c r="R79" s="53">
        <f t="shared" si="38"/>
        <v>345.73942351885722</v>
      </c>
      <c r="S79" s="53">
        <f t="shared" si="39"/>
        <v>2042.210957869095</v>
      </c>
      <c r="T79" s="53">
        <f t="shared" si="40"/>
        <v>35187.657142857141</v>
      </c>
      <c r="U79" s="51">
        <f t="shared" si="41"/>
        <v>6.213880741795756</v>
      </c>
      <c r="V79" s="52">
        <f t="shared" si="42"/>
        <v>3.6666666666666665</v>
      </c>
      <c r="W79" s="52">
        <f t="shared" si="43"/>
        <v>9.1666666666666679</v>
      </c>
      <c r="X79" s="51">
        <f t="shared" si="44"/>
        <v>5.607959205331781</v>
      </c>
      <c r="Y79" s="51">
        <f t="shared" si="45"/>
        <v>10.605399999999999</v>
      </c>
      <c r="Z79" s="51" t="e">
        <f>IF(Use_BOM_DF,M79/10,MIN(0.972+(0.342*LN(Weather_Site!J82))-(0.245*LN(Weather_Site!I82)),1))</f>
        <v>#NUM!</v>
      </c>
      <c r="AA79" s="52" t="e">
        <f t="shared" si="46"/>
        <v>#NUM!</v>
      </c>
      <c r="AB79" s="52" t="e">
        <f t="shared" si="47"/>
        <v>#NUM!</v>
      </c>
      <c r="AC79" s="52" t="e">
        <f t="shared" si="48"/>
        <v>#NUM!</v>
      </c>
      <c r="AD79" s="51" t="e">
        <f t="shared" si="49"/>
        <v>#NUM!</v>
      </c>
      <c r="AE79" s="51" t="e">
        <f t="shared" si="50"/>
        <v>#NUM!</v>
      </c>
      <c r="AF79" s="53" t="e">
        <f t="shared" si="51"/>
        <v>#NUM!</v>
      </c>
      <c r="AG79" s="323">
        <f t="shared" si="52"/>
        <v>7.6554493969236415</v>
      </c>
    </row>
    <row r="80" spans="1:33" x14ac:dyDescent="0.25">
      <c r="A80" s="23" t="str">
        <f>Weather_Site!A83</f>
        <v>Wed</v>
      </c>
      <c r="B80" s="24">
        <f>Weather_Site!B83</f>
        <v>44552</v>
      </c>
      <c r="C80" s="25">
        <f>Weather_Site!C83</f>
        <v>0.125</v>
      </c>
      <c r="D80" s="27">
        <f>Weather_Site!D83</f>
        <v>20.6</v>
      </c>
      <c r="E80" s="27">
        <f>Weather_Site!E83</f>
        <v>41.6</v>
      </c>
      <c r="F80" s="28">
        <f>Weather_Site!F83</f>
        <v>177</v>
      </c>
      <c r="G80" s="27">
        <f>Weather_Site!G83</f>
        <v>11</v>
      </c>
      <c r="H80" s="27">
        <f>IF(Weather_Site!M83&lt;180,Weather_Site!M83+180,Weather_Site!M83-180)</f>
        <v>357</v>
      </c>
      <c r="I80" s="172">
        <f t="shared" si="30"/>
        <v>0</v>
      </c>
      <c r="J80" s="214">
        <f t="shared" si="31"/>
        <v>3</v>
      </c>
      <c r="K80" s="27">
        <f t="shared" si="33"/>
        <v>3.6666666666666665</v>
      </c>
      <c r="L80" s="172">
        <f t="shared" si="32"/>
        <v>24</v>
      </c>
      <c r="M80" s="32">
        <f>IF(Use_BOM_DF,Weather_Site!H83,IF(0.191*(Weather_Site!K83+104)*(Weather_Site!J83+1)^1.5/(3.52*(Weather_Site!J83+1)^1.5+Weather_Site!I83-1)&gt;10, 10,0.191*(Weather_Site!K83+104)*(Weather_Site!J83+1)^1.5/(3.52*(Weather_Site!J83+1)^1.5+Weather_Site!I83-1)))</f>
        <v>7.882539682539683</v>
      </c>
      <c r="N80" s="32">
        <f t="shared" si="34"/>
        <v>6.0462417177348229</v>
      </c>
      <c r="O80" s="33">
        <f t="shared" si="35"/>
        <v>174.13176147076288</v>
      </c>
      <c r="P80" s="33">
        <f t="shared" si="36"/>
        <v>134.61411291274499</v>
      </c>
      <c r="Q80" s="32">
        <f t="shared" si="37"/>
        <v>6.0237128991199178</v>
      </c>
      <c r="R80" s="42">
        <f t="shared" si="38"/>
        <v>228.21709024823699</v>
      </c>
      <c r="S80" s="42">
        <f t="shared" si="39"/>
        <v>1702.1344525735235</v>
      </c>
      <c r="T80" s="42">
        <f t="shared" si="40"/>
        <v>35187.657142857141</v>
      </c>
      <c r="U80" s="32">
        <f t="shared" si="41"/>
        <v>6.8430733967593698</v>
      </c>
      <c r="V80" s="33">
        <f t="shared" si="42"/>
        <v>3.6666666666666665</v>
      </c>
      <c r="W80" s="33">
        <f t="shared" si="43"/>
        <v>9.1666666666666679</v>
      </c>
      <c r="X80" s="32">
        <f t="shared" si="44"/>
        <v>4.6741011428036456</v>
      </c>
      <c r="Y80" s="32">
        <f t="shared" si="45"/>
        <v>11.369</v>
      </c>
      <c r="Z80" s="266" t="e">
        <f>IF(Use_BOM_DF,M80/10,MIN(0.972+(0.342*LN(Weather_Site!J83))-(0.245*LN(Weather_Site!I83)),1))</f>
        <v>#NUM!</v>
      </c>
      <c r="AA80" s="33" t="e">
        <f t="shared" si="46"/>
        <v>#NUM!</v>
      </c>
      <c r="AB80" s="33" t="e">
        <f t="shared" si="47"/>
        <v>#NUM!</v>
      </c>
      <c r="AC80" s="33" t="e">
        <f t="shared" si="48"/>
        <v>#NUM!</v>
      </c>
      <c r="AD80" s="32" t="e">
        <f t="shared" si="49"/>
        <v>#NUM!</v>
      </c>
      <c r="AE80" s="32" t="e">
        <f t="shared" si="50"/>
        <v>#NUM!</v>
      </c>
      <c r="AF80" s="42" t="e">
        <f t="shared" si="51"/>
        <v>#NUM!</v>
      </c>
      <c r="AG80" s="83">
        <f t="shared" si="52"/>
        <v>6.2518031255755622</v>
      </c>
    </row>
    <row r="81" spans="1:33" x14ac:dyDescent="0.25">
      <c r="A81" s="23" t="str">
        <f>Weather_Site!A84</f>
        <v>Wed</v>
      </c>
      <c r="B81" s="24">
        <f>Weather_Site!B84</f>
        <v>44552</v>
      </c>
      <c r="C81" s="25">
        <f>Weather_Site!C84</f>
        <v>0.16666666666666666</v>
      </c>
      <c r="D81" s="27">
        <f>Weather_Site!D84</f>
        <v>20</v>
      </c>
      <c r="E81" s="27">
        <f>Weather_Site!E84</f>
        <v>45</v>
      </c>
      <c r="F81" s="28">
        <f>Weather_Site!F84</f>
        <v>181</v>
      </c>
      <c r="G81" s="27">
        <f>Weather_Site!G84</f>
        <v>12</v>
      </c>
      <c r="H81" s="27">
        <f>IF(Weather_Site!M84&lt;180,Weather_Site!M84+180,Weather_Site!M84-180)</f>
        <v>1</v>
      </c>
      <c r="I81" s="172">
        <f t="shared" si="30"/>
        <v>0</v>
      </c>
      <c r="J81" s="214">
        <f t="shared" si="31"/>
        <v>3</v>
      </c>
      <c r="K81" s="27">
        <f t="shared" si="33"/>
        <v>4</v>
      </c>
      <c r="L81" s="172">
        <f t="shared" si="32"/>
        <v>24</v>
      </c>
      <c r="M81" s="32">
        <f>IF(Use_BOM_DF,Weather_Site!H84,IF(0.191*(Weather_Site!K84+104)*(Weather_Site!J84+1)^1.5/(3.52*(Weather_Site!J84+1)^1.5+Weather_Site!I84-1)&gt;10, 10,0.191*(Weather_Site!K84+104)*(Weather_Site!J84+1)^1.5/(3.52*(Weather_Site!J84+1)^1.5+Weather_Site!I84-1)))</f>
        <v>7.882539682539683</v>
      </c>
      <c r="N81" s="32">
        <f t="shared" si="34"/>
        <v>5.3938362979179972</v>
      </c>
      <c r="O81" s="33">
        <f t="shared" si="35"/>
        <v>155.34248538003831</v>
      </c>
      <c r="P81" s="33">
        <f t="shared" si="36"/>
        <v>117.311438107398</v>
      </c>
      <c r="Q81" s="32">
        <f t="shared" si="37"/>
        <v>5.7794523099404973</v>
      </c>
      <c r="R81" s="42">
        <f t="shared" si="38"/>
        <v>164.74691561376943</v>
      </c>
      <c r="S81" s="42">
        <f t="shared" si="39"/>
        <v>1518.4696581511223</v>
      </c>
      <c r="T81" s="42">
        <f t="shared" si="40"/>
        <v>35187.657142857141</v>
      </c>
      <c r="U81" s="32">
        <f t="shared" si="41"/>
        <v>7.3792639371809585</v>
      </c>
      <c r="V81" s="33">
        <f t="shared" si="42"/>
        <v>4</v>
      </c>
      <c r="W81" s="33">
        <f t="shared" si="43"/>
        <v>10</v>
      </c>
      <c r="X81" s="32">
        <f t="shared" si="44"/>
        <v>4.0733138231735424</v>
      </c>
      <c r="Y81" s="32">
        <f t="shared" si="45"/>
        <v>11.919</v>
      </c>
      <c r="Z81" s="266" t="e">
        <f>IF(Use_BOM_DF,M81/10,MIN(0.972+(0.342*LN(Weather_Site!J84))-(0.245*LN(Weather_Site!I84)),1))</f>
        <v>#NUM!</v>
      </c>
      <c r="AA81" s="33" t="e">
        <f t="shared" si="46"/>
        <v>#NUM!</v>
      </c>
      <c r="AB81" s="33" t="e">
        <f t="shared" si="47"/>
        <v>#NUM!</v>
      </c>
      <c r="AC81" s="33" t="e">
        <f t="shared" si="48"/>
        <v>#NUM!</v>
      </c>
      <c r="AD81" s="32" t="e">
        <f t="shared" si="49"/>
        <v>#NUM!</v>
      </c>
      <c r="AE81" s="32" t="e">
        <f t="shared" si="50"/>
        <v>#NUM!</v>
      </c>
      <c r="AF81" s="42" t="e">
        <f t="shared" si="51"/>
        <v>#NUM!</v>
      </c>
      <c r="AG81" s="83">
        <f t="shared" si="52"/>
        <v>5.4622038922949843</v>
      </c>
    </row>
    <row r="82" spans="1:33" x14ac:dyDescent="0.25">
      <c r="A82" s="23" t="str">
        <f>Weather_Site!A85</f>
        <v>Wed</v>
      </c>
      <c r="B82" s="24">
        <f>Weather_Site!B85</f>
        <v>44552</v>
      </c>
      <c r="C82" s="25">
        <f>Weather_Site!C85</f>
        <v>0.20833333333333334</v>
      </c>
      <c r="D82" s="27">
        <f>Weather_Site!D85</f>
        <v>19.2</v>
      </c>
      <c r="E82" s="27">
        <f>Weather_Site!E85</f>
        <v>49.3</v>
      </c>
      <c r="F82" s="28">
        <f>Weather_Site!F85</f>
        <v>184</v>
      </c>
      <c r="G82" s="27">
        <f>Weather_Site!G85</f>
        <v>16</v>
      </c>
      <c r="H82" s="27">
        <f>IF(Weather_Site!M85&lt;180,Weather_Site!M85+180,Weather_Site!M85-180)</f>
        <v>4</v>
      </c>
      <c r="I82" s="172">
        <f t="shared" si="30"/>
        <v>0</v>
      </c>
      <c r="J82" s="214">
        <f t="shared" si="31"/>
        <v>3</v>
      </c>
      <c r="K82" s="27">
        <f t="shared" si="33"/>
        <v>5.333333333333333</v>
      </c>
      <c r="L82" s="172">
        <f t="shared" si="32"/>
        <v>24</v>
      </c>
      <c r="M82" s="32">
        <f>IF(Use_BOM_DF,Weather_Site!H85,IF(0.191*(Weather_Site!K85+104)*(Weather_Site!J85+1)^1.5/(3.52*(Weather_Site!J85+1)^1.5+Weather_Site!I85-1)&gt;10, 10,0.191*(Weather_Site!K85+104)*(Weather_Site!J85+1)^1.5/(3.52*(Weather_Site!J85+1)^1.5+Weather_Site!I85-1)))</f>
        <v>7.882539682539683</v>
      </c>
      <c r="N82" s="32">
        <f t="shared" si="34"/>
        <v>4.9702337705762138</v>
      </c>
      <c r="O82" s="33">
        <f t="shared" si="35"/>
        <v>143.14273259259494</v>
      </c>
      <c r="P82" s="33">
        <f t="shared" si="36"/>
        <v>98.439511439028237</v>
      </c>
      <c r="Q82" s="32">
        <f t="shared" si="37"/>
        <v>5.6208555237037343</v>
      </c>
      <c r="R82" s="42">
        <f t="shared" si="38"/>
        <v>123.53615069778573</v>
      </c>
      <c r="S82" s="42">
        <f t="shared" si="39"/>
        <v>1399.2173209726816</v>
      </c>
      <c r="T82" s="42">
        <f t="shared" si="40"/>
        <v>35187.657142857141</v>
      </c>
      <c r="U82" s="32">
        <f t="shared" si="41"/>
        <v>8.1391911823417882</v>
      </c>
      <c r="V82" s="33">
        <f t="shared" si="42"/>
        <v>5.333333333333333</v>
      </c>
      <c r="W82" s="33">
        <f t="shared" si="43"/>
        <v>13.333333333333334</v>
      </c>
      <c r="X82" s="32">
        <f t="shared" si="44"/>
        <v>3.418038591632925</v>
      </c>
      <c r="Y82" s="32">
        <f t="shared" si="45"/>
        <v>12.626200000000001</v>
      </c>
      <c r="Z82" s="266" t="e">
        <f>IF(Use_BOM_DF,M82/10,MIN(0.972+(0.342*LN(Weather_Site!J85))-(0.245*LN(Weather_Site!I85)),1))</f>
        <v>#NUM!</v>
      </c>
      <c r="AA82" s="33" t="e">
        <f t="shared" si="46"/>
        <v>#NUM!</v>
      </c>
      <c r="AB82" s="33" t="e">
        <f t="shared" si="47"/>
        <v>#NUM!</v>
      </c>
      <c r="AC82" s="33" t="e">
        <f t="shared" si="48"/>
        <v>#NUM!</v>
      </c>
      <c r="AD82" s="32" t="e">
        <f t="shared" si="49"/>
        <v>#NUM!</v>
      </c>
      <c r="AE82" s="32" t="e">
        <f t="shared" si="50"/>
        <v>#NUM!</v>
      </c>
      <c r="AF82" s="42" t="e">
        <f t="shared" si="51"/>
        <v>#NUM!</v>
      </c>
      <c r="AG82" s="83">
        <f t="shared" si="52"/>
        <v>4.8823019945378823</v>
      </c>
    </row>
    <row r="83" spans="1:33" x14ac:dyDescent="0.25">
      <c r="A83" s="23" t="str">
        <f>Weather_Site!A86</f>
        <v>Wed</v>
      </c>
      <c r="B83" s="24">
        <f>Weather_Site!B86</f>
        <v>44552</v>
      </c>
      <c r="C83" s="25">
        <f>Weather_Site!C86</f>
        <v>0.25</v>
      </c>
      <c r="D83" s="27">
        <f>Weather_Site!D86</f>
        <v>18.3</v>
      </c>
      <c r="E83" s="27">
        <f>Weather_Site!E86</f>
        <v>51.8</v>
      </c>
      <c r="F83" s="28">
        <f>Weather_Site!F86</f>
        <v>182</v>
      </c>
      <c r="G83" s="27">
        <f>Weather_Site!G86</f>
        <v>17</v>
      </c>
      <c r="H83" s="27">
        <f>IF(Weather_Site!M86&lt;180,Weather_Site!M86+180,Weather_Site!M86-180)</f>
        <v>2</v>
      </c>
      <c r="I83" s="172">
        <f t="shared" si="30"/>
        <v>0</v>
      </c>
      <c r="J83" s="214">
        <f t="shared" si="31"/>
        <v>3</v>
      </c>
      <c r="K83" s="27">
        <f t="shared" si="33"/>
        <v>5.666666666666667</v>
      </c>
      <c r="L83" s="172">
        <f t="shared" si="32"/>
        <v>24</v>
      </c>
      <c r="M83" s="32">
        <f>IF(Use_BOM_DF,Weather_Site!H86,IF(0.191*(Weather_Site!K86+104)*(Weather_Site!J86+1)^1.5/(3.52*(Weather_Site!J86+1)^1.5+Weather_Site!I86-1)&gt;10, 10,0.191*(Weather_Site!K86+104)*(Weather_Site!J86+1)^1.5/(3.52*(Weather_Site!J86+1)^1.5+Weather_Site!I86-1)))</f>
        <v>7.882539682539683</v>
      </c>
      <c r="N83" s="32">
        <f t="shared" si="34"/>
        <v>4.5276220836921492</v>
      </c>
      <c r="O83" s="33">
        <f t="shared" si="35"/>
        <v>130.39551601033389</v>
      </c>
      <c r="P83" s="33">
        <f t="shared" si="36"/>
        <v>87.599234776622353</v>
      </c>
      <c r="Q83" s="32">
        <f t="shared" si="37"/>
        <v>5.4551417081343407</v>
      </c>
      <c r="R83" s="42">
        <f t="shared" si="38"/>
        <v>80.476053082907896</v>
      </c>
      <c r="S83" s="42">
        <f t="shared" si="39"/>
        <v>1274.6135362534528</v>
      </c>
      <c r="T83" s="42">
        <f t="shared" si="40"/>
        <v>35187.657142857141</v>
      </c>
      <c r="U83" s="32">
        <f t="shared" si="41"/>
        <v>8.6902215131096838</v>
      </c>
      <c r="V83" s="33">
        <f t="shared" si="42"/>
        <v>5.666666666666667</v>
      </c>
      <c r="W83" s="33">
        <f t="shared" si="43"/>
        <v>14.166666666666668</v>
      </c>
      <c r="X83" s="32">
        <f t="shared" si="44"/>
        <v>3.0416400964104984</v>
      </c>
      <c r="Y83" s="32">
        <f t="shared" si="45"/>
        <v>13.16</v>
      </c>
      <c r="Z83" s="266" t="e">
        <f>IF(Use_BOM_DF,M83/10,MIN(0.972+(0.342*LN(Weather_Site!J86))-(0.245*LN(Weather_Site!I86)),1))</f>
        <v>#NUM!</v>
      </c>
      <c r="AA83" s="33" t="e">
        <f t="shared" si="46"/>
        <v>#NUM!</v>
      </c>
      <c r="AB83" s="33" t="e">
        <f t="shared" si="47"/>
        <v>#NUM!</v>
      </c>
      <c r="AC83" s="33" t="e">
        <f t="shared" si="48"/>
        <v>#NUM!</v>
      </c>
      <c r="AD83" s="32" t="e">
        <f t="shared" si="49"/>
        <v>#NUM!</v>
      </c>
      <c r="AE83" s="32" t="e">
        <f t="shared" si="50"/>
        <v>#NUM!</v>
      </c>
      <c r="AF83" s="42" t="e">
        <f t="shared" si="51"/>
        <v>#NUM!</v>
      </c>
      <c r="AG83" s="83">
        <f t="shared" si="52"/>
        <v>4.3555497277915105</v>
      </c>
    </row>
    <row r="84" spans="1:33" x14ac:dyDescent="0.25">
      <c r="A84" s="23" t="str">
        <f>Weather_Site!A87</f>
        <v>Wed</v>
      </c>
      <c r="B84" s="24">
        <f>Weather_Site!B87</f>
        <v>44552</v>
      </c>
      <c r="C84" s="25">
        <f>Weather_Site!C87</f>
        <v>0.29166666666666669</v>
      </c>
      <c r="D84" s="27">
        <f>Weather_Site!D87</f>
        <v>19</v>
      </c>
      <c r="E84" s="27">
        <f>Weather_Site!E87</f>
        <v>48.9</v>
      </c>
      <c r="F84" s="28">
        <f>Weather_Site!F87</f>
        <v>176</v>
      </c>
      <c r="G84" s="27">
        <f>Weather_Site!G87</f>
        <v>18</v>
      </c>
      <c r="H84" s="27">
        <f>IF(Weather_Site!M87&lt;180,Weather_Site!M87+180,Weather_Site!M87-180)</f>
        <v>356</v>
      </c>
      <c r="I84" s="172">
        <f t="shared" si="30"/>
        <v>0</v>
      </c>
      <c r="J84" s="214">
        <f t="shared" si="31"/>
        <v>3</v>
      </c>
      <c r="K84" s="27">
        <f t="shared" si="33"/>
        <v>6</v>
      </c>
      <c r="L84" s="172">
        <f t="shared" si="32"/>
        <v>24</v>
      </c>
      <c r="M84" s="32">
        <f>IF(Use_BOM_DF,Weather_Site!H87,IF(0.191*(Weather_Site!K87+104)*(Weather_Site!J87+1)^1.5/(3.52*(Weather_Site!J87+1)^1.5+Weather_Site!I87-1)&gt;10, 10,0.191*(Weather_Site!K87+104)*(Weather_Site!J87+1)^1.5/(3.52*(Weather_Site!J87+1)^1.5+Weather_Site!I87-1)))</f>
        <v>7.882539682539683</v>
      </c>
      <c r="N84" s="32">
        <f t="shared" si="34"/>
        <v>5.245165920265431</v>
      </c>
      <c r="O84" s="33">
        <f t="shared" si="35"/>
        <v>151.0607785036444</v>
      </c>
      <c r="P84" s="33">
        <f t="shared" si="36"/>
        <v>99.134970743975089</v>
      </c>
      <c r="Q84" s="32">
        <f t="shared" si="37"/>
        <v>5.7237901205473776</v>
      </c>
      <c r="R84" s="42">
        <f t="shared" si="38"/>
        <v>150.28330978531091</v>
      </c>
      <c r="S84" s="42">
        <f t="shared" si="39"/>
        <v>1476.6160598840725</v>
      </c>
      <c r="T84" s="42">
        <f t="shared" si="40"/>
        <v>35187.657142857141</v>
      </c>
      <c r="U84" s="32">
        <f t="shared" si="41"/>
        <v>8.100515188132368</v>
      </c>
      <c r="V84" s="33">
        <f t="shared" si="42"/>
        <v>6</v>
      </c>
      <c r="W84" s="33">
        <f t="shared" si="43"/>
        <v>15</v>
      </c>
      <c r="X84" s="32">
        <f t="shared" si="44"/>
        <v>3.4421864841658021</v>
      </c>
      <c r="Y84" s="32">
        <f t="shared" si="45"/>
        <v>12.6378</v>
      </c>
      <c r="Z84" s="266" t="e">
        <f>IF(Use_BOM_DF,M84/10,MIN(0.972+(0.342*LN(Weather_Site!J87))-(0.245*LN(Weather_Site!I87)),1))</f>
        <v>#NUM!</v>
      </c>
      <c r="AA84" s="33" t="e">
        <f t="shared" si="46"/>
        <v>#NUM!</v>
      </c>
      <c r="AB84" s="33" t="e">
        <f t="shared" si="47"/>
        <v>#NUM!</v>
      </c>
      <c r="AC84" s="33" t="e">
        <f t="shared" si="48"/>
        <v>#NUM!</v>
      </c>
      <c r="AD84" s="32" t="e">
        <f t="shared" si="49"/>
        <v>#NUM!</v>
      </c>
      <c r="AE84" s="32" t="e">
        <f t="shared" si="50"/>
        <v>#NUM!</v>
      </c>
      <c r="AF84" s="42" t="e">
        <f t="shared" si="51"/>
        <v>#NUM!</v>
      </c>
      <c r="AG84" s="83">
        <f t="shared" si="52"/>
        <v>5.1676572407279435</v>
      </c>
    </row>
    <row r="85" spans="1:33" x14ac:dyDescent="0.25">
      <c r="A85" s="45" t="str">
        <f>Weather_Site!A88</f>
        <v>Wed</v>
      </c>
      <c r="B85" s="46">
        <f>Weather_Site!B88</f>
        <v>44552</v>
      </c>
      <c r="C85" s="47">
        <f>Weather_Site!C88</f>
        <v>0.33333333333333331</v>
      </c>
      <c r="D85" s="48">
        <f>Weather_Site!D88</f>
        <v>21.4</v>
      </c>
      <c r="E85" s="48">
        <f>Weather_Site!E88</f>
        <v>43</v>
      </c>
      <c r="F85" s="49">
        <f>Weather_Site!F88</f>
        <v>179</v>
      </c>
      <c r="G85" s="48">
        <f>Weather_Site!G88</f>
        <v>22</v>
      </c>
      <c r="H85" s="48">
        <f>IF(Weather_Site!M88&lt;180,Weather_Site!M88+180,Weather_Site!M88-180)</f>
        <v>359</v>
      </c>
      <c r="I85" s="172">
        <f t="shared" si="30"/>
        <v>0</v>
      </c>
      <c r="J85" s="214">
        <f t="shared" si="31"/>
        <v>3</v>
      </c>
      <c r="K85" s="48">
        <f t="shared" si="33"/>
        <v>7.333333333333333</v>
      </c>
      <c r="L85" s="172">
        <f t="shared" si="32"/>
        <v>24</v>
      </c>
      <c r="M85" s="51">
        <f>IF(Use_BOM_DF,Weather_Site!H88,IF(0.191*(Weather_Site!K88+104)*(Weather_Site!J88+1)^1.5/(3.52*(Weather_Site!J88+1)^1.5+Weather_Site!I88-1)&gt;10, 10,0.191*(Weather_Site!K88+104)*(Weather_Site!J88+1)^1.5/(3.52*(Weather_Site!J88+1)^1.5+Weather_Site!I88-1)))</f>
        <v>7.882539682539683</v>
      </c>
      <c r="N85" s="51">
        <f t="shared" si="34"/>
        <v>7.6566677945144903</v>
      </c>
      <c r="O85" s="52">
        <f t="shared" si="35"/>
        <v>220.51203248201728</v>
      </c>
      <c r="P85" s="52">
        <f t="shared" si="36"/>
        <v>131.78242437788424</v>
      </c>
      <c r="Q85" s="51">
        <f t="shared" si="37"/>
        <v>6.6266564222662243</v>
      </c>
      <c r="R85" s="53">
        <f t="shared" si="38"/>
        <v>384.88964572425442</v>
      </c>
      <c r="S85" s="53">
        <f t="shared" si="39"/>
        <v>2155.500665268778</v>
      </c>
      <c r="T85" s="53">
        <f t="shared" si="40"/>
        <v>35187.657142857141</v>
      </c>
      <c r="U85" s="51">
        <f t="shared" si="41"/>
        <v>6.9531964737805065</v>
      </c>
      <c r="V85" s="52">
        <f t="shared" si="42"/>
        <v>7.333333333333333</v>
      </c>
      <c r="W85" s="52">
        <f t="shared" si="43"/>
        <v>18.333333333333336</v>
      </c>
      <c r="X85" s="51">
        <f t="shared" si="44"/>
        <v>4.5757786242320915</v>
      </c>
      <c r="Y85" s="51">
        <f t="shared" si="45"/>
        <v>11.3002</v>
      </c>
      <c r="Z85" s="51" t="e">
        <f>IF(Use_BOM_DF,M85/10,MIN(0.972+(0.342*LN(Weather_Site!J88))-(0.245*LN(Weather_Site!I88)),1))</f>
        <v>#NUM!</v>
      </c>
      <c r="AA85" s="52" t="e">
        <f t="shared" si="46"/>
        <v>#NUM!</v>
      </c>
      <c r="AB85" s="52" t="e">
        <f t="shared" si="47"/>
        <v>#NUM!</v>
      </c>
      <c r="AC85" s="52" t="e">
        <f t="shared" si="48"/>
        <v>#NUM!</v>
      </c>
      <c r="AD85" s="51" t="e">
        <f t="shared" si="49"/>
        <v>#NUM!</v>
      </c>
      <c r="AE85" s="51" t="e">
        <f t="shared" si="50"/>
        <v>#NUM!</v>
      </c>
      <c r="AF85" s="53" t="e">
        <f t="shared" si="51"/>
        <v>#NUM!</v>
      </c>
      <c r="AG85" s="323">
        <f t="shared" si="52"/>
        <v>7.8204682352275583</v>
      </c>
    </row>
    <row r="86" spans="1:33" x14ac:dyDescent="0.25">
      <c r="A86" s="45" t="str">
        <f>Weather_Site!A89</f>
        <v>Wed</v>
      </c>
      <c r="B86" s="46">
        <f>Weather_Site!B89</f>
        <v>44552</v>
      </c>
      <c r="C86" s="47">
        <f>Weather_Site!C89</f>
        <v>0.375</v>
      </c>
      <c r="D86" s="48">
        <f>Weather_Site!D89</f>
        <v>23.5</v>
      </c>
      <c r="E86" s="48">
        <f>Weather_Site!E89</f>
        <v>40</v>
      </c>
      <c r="F86" s="49">
        <f>Weather_Site!F89</f>
        <v>167</v>
      </c>
      <c r="G86" s="48">
        <f>Weather_Site!G89</f>
        <v>15</v>
      </c>
      <c r="H86" s="48">
        <f>IF(Weather_Site!M89&lt;180,Weather_Site!M89+180,Weather_Site!M89-180)</f>
        <v>347</v>
      </c>
      <c r="I86" s="172">
        <f t="shared" si="30"/>
        <v>0</v>
      </c>
      <c r="J86" s="214">
        <f t="shared" si="31"/>
        <v>3</v>
      </c>
      <c r="K86" s="48">
        <f t="shared" si="33"/>
        <v>5</v>
      </c>
      <c r="L86" s="172">
        <f t="shared" si="32"/>
        <v>24</v>
      </c>
      <c r="M86" s="51">
        <f>IF(Use_BOM_DF,Weather_Site!H89,IF(0.191*(Weather_Site!K89+104)*(Weather_Site!J89+1)^1.5/(3.52*(Weather_Site!J89+1)^1.5+Weather_Site!I89-1)&gt;10, 10,0.191*(Weather_Site!K89+104)*(Weather_Site!J89+1)^1.5/(3.52*(Weather_Site!J89+1)^1.5+Weather_Site!I89-1)))</f>
        <v>7.882539682539683</v>
      </c>
      <c r="N86" s="51">
        <f t="shared" si="34"/>
        <v>7.7388792342132033</v>
      </c>
      <c r="O86" s="52">
        <f t="shared" si="35"/>
        <v>222.87972194534026</v>
      </c>
      <c r="P86" s="52">
        <f t="shared" si="36"/>
        <v>156.9037033133776</v>
      </c>
      <c r="Q86" s="51">
        <f t="shared" si="37"/>
        <v>6.6574363852894223</v>
      </c>
      <c r="R86" s="53">
        <f t="shared" si="38"/>
        <v>392.88770073135936</v>
      </c>
      <c r="S86" s="53">
        <f t="shared" si="39"/>
        <v>2178.644781967982</v>
      </c>
      <c r="T86" s="53">
        <f t="shared" si="40"/>
        <v>35187.657142857141</v>
      </c>
      <c r="U86" s="51">
        <f t="shared" si="41"/>
        <v>6.3819621438296563</v>
      </c>
      <c r="V86" s="52">
        <f t="shared" si="42"/>
        <v>5</v>
      </c>
      <c r="W86" s="52">
        <f t="shared" si="43"/>
        <v>12.5</v>
      </c>
      <c r="X86" s="51">
        <f t="shared" si="44"/>
        <v>5.4480452539367237</v>
      </c>
      <c r="Y86" s="51">
        <f t="shared" si="45"/>
        <v>10.372</v>
      </c>
      <c r="Z86" s="51" t="e">
        <f>IF(Use_BOM_DF,M86/10,MIN(0.972+(0.342*LN(Weather_Site!J89))-(0.245*LN(Weather_Site!I89)),1))</f>
        <v>#NUM!</v>
      </c>
      <c r="AA86" s="52" t="e">
        <f t="shared" si="46"/>
        <v>#NUM!</v>
      </c>
      <c r="AB86" s="52" t="e">
        <f t="shared" si="47"/>
        <v>#NUM!</v>
      </c>
      <c r="AC86" s="52" t="e">
        <f t="shared" si="48"/>
        <v>#NUM!</v>
      </c>
      <c r="AD86" s="51" t="e">
        <f t="shared" si="49"/>
        <v>#NUM!</v>
      </c>
      <c r="AE86" s="51" t="e">
        <f t="shared" si="50"/>
        <v>#NUM!</v>
      </c>
      <c r="AF86" s="53" t="e">
        <f t="shared" si="51"/>
        <v>#NUM!</v>
      </c>
      <c r="AG86" s="323">
        <f t="shared" si="52"/>
        <v>7.9483851447938942</v>
      </c>
    </row>
    <row r="87" spans="1:33" x14ac:dyDescent="0.25">
      <c r="A87" s="45" t="str">
        <f>Weather_Site!A90</f>
        <v>Wed</v>
      </c>
      <c r="B87" s="46">
        <f>Weather_Site!B90</f>
        <v>44552</v>
      </c>
      <c r="C87" s="47">
        <f>Weather_Site!C90</f>
        <v>0.41666666666666669</v>
      </c>
      <c r="D87" s="48">
        <f>Weather_Site!D90</f>
        <v>25.9</v>
      </c>
      <c r="E87" s="48">
        <f>Weather_Site!E90</f>
        <v>34.200000000000003</v>
      </c>
      <c r="F87" s="49">
        <f>Weather_Site!F90</f>
        <v>164</v>
      </c>
      <c r="G87" s="48">
        <f>Weather_Site!G90</f>
        <v>20</v>
      </c>
      <c r="H87" s="48">
        <f>IF(Weather_Site!M90&lt;180,Weather_Site!M90+180,Weather_Site!M90-180)</f>
        <v>344</v>
      </c>
      <c r="I87" s="172">
        <f t="shared" si="30"/>
        <v>0</v>
      </c>
      <c r="J87" s="214">
        <f t="shared" si="31"/>
        <v>3</v>
      </c>
      <c r="K87" s="48">
        <f t="shared" si="33"/>
        <v>6.666666666666667</v>
      </c>
      <c r="L87" s="172">
        <f t="shared" si="32"/>
        <v>24</v>
      </c>
      <c r="M87" s="51">
        <f>IF(Use_BOM_DF,Weather_Site!H90,IF(0.191*(Weather_Site!K90+104)*(Weather_Site!J90+1)^1.5/(3.52*(Weather_Site!J90+1)^1.5+Weather_Site!I90-1)&gt;10, 10,0.191*(Weather_Site!K90+104)*(Weather_Site!J90+1)^1.5/(3.52*(Weather_Site!J90+1)^1.5+Weather_Site!I90-1)))</f>
        <v>7.882539682539683</v>
      </c>
      <c r="N87" s="51">
        <f t="shared" si="34"/>
        <v>11.524519261396325</v>
      </c>
      <c r="O87" s="52">
        <f t="shared" si="35"/>
        <v>331.90615472821412</v>
      </c>
      <c r="P87" s="52">
        <f t="shared" si="36"/>
        <v>207.8573989221741</v>
      </c>
      <c r="Q87" s="51">
        <f t="shared" si="37"/>
        <v>8.0747800114667836</v>
      </c>
      <c r="R87" s="53">
        <f t="shared" si="38"/>
        <v>761.1789906719074</v>
      </c>
      <c r="S87" s="53">
        <f t="shared" si="39"/>
        <v>3244.3759611249789</v>
      </c>
      <c r="T87" s="53">
        <f t="shared" si="40"/>
        <v>35187.657142857141</v>
      </c>
      <c r="U87" s="51">
        <f t="shared" si="41"/>
        <v>5.5757130801987067</v>
      </c>
      <c r="V87" s="52">
        <f t="shared" si="42"/>
        <v>6.666666666666667</v>
      </c>
      <c r="W87" s="52">
        <f t="shared" si="43"/>
        <v>16.666666666666668</v>
      </c>
      <c r="X87" s="51">
        <f t="shared" si="44"/>
        <v>7.2172707959088225</v>
      </c>
      <c r="Y87" s="51">
        <f t="shared" si="45"/>
        <v>9.0456000000000021</v>
      </c>
      <c r="Z87" s="51" t="e">
        <f>IF(Use_BOM_DF,M87/10,MIN(0.972+(0.342*LN(Weather_Site!J90))-(0.245*LN(Weather_Site!I90)),1))</f>
        <v>#NUM!</v>
      </c>
      <c r="AA87" s="52" t="e">
        <f t="shared" si="46"/>
        <v>#NUM!</v>
      </c>
      <c r="AB87" s="52" t="e">
        <f t="shared" si="47"/>
        <v>#NUM!</v>
      </c>
      <c r="AC87" s="52" t="e">
        <f t="shared" si="48"/>
        <v>#NUM!</v>
      </c>
      <c r="AD87" s="51" t="e">
        <f t="shared" si="49"/>
        <v>#NUM!</v>
      </c>
      <c r="AE87" s="51" t="e">
        <f t="shared" si="50"/>
        <v>#NUM!</v>
      </c>
      <c r="AF87" s="53" t="e">
        <f t="shared" si="51"/>
        <v>#NUM!</v>
      </c>
      <c r="AG87" s="323">
        <f t="shared" si="52"/>
        <v>11.864907336189326</v>
      </c>
    </row>
    <row r="88" spans="1:33" x14ac:dyDescent="0.25">
      <c r="A88" s="45" t="str">
        <f>Weather_Site!A91</f>
        <v>Wed</v>
      </c>
      <c r="B88" s="46">
        <f>Weather_Site!B91</f>
        <v>44552</v>
      </c>
      <c r="C88" s="47">
        <f>Weather_Site!C91</f>
        <v>0.45833333333333331</v>
      </c>
      <c r="D88" s="48">
        <f>Weather_Site!D91</f>
        <v>28.1</v>
      </c>
      <c r="E88" s="48">
        <f>Weather_Site!E91</f>
        <v>30</v>
      </c>
      <c r="F88" s="49">
        <f>Weather_Site!F91</f>
        <v>165</v>
      </c>
      <c r="G88" s="48">
        <f>Weather_Site!G91</f>
        <v>18</v>
      </c>
      <c r="H88" s="48">
        <f>IF(Weather_Site!M91&lt;180,Weather_Site!M91+180,Weather_Site!M91-180)</f>
        <v>345</v>
      </c>
      <c r="I88" s="172">
        <f t="shared" si="30"/>
        <v>0</v>
      </c>
      <c r="J88" s="214">
        <f t="shared" si="31"/>
        <v>3</v>
      </c>
      <c r="K88" s="48">
        <f t="shared" si="33"/>
        <v>6</v>
      </c>
      <c r="L88" s="172">
        <f t="shared" si="32"/>
        <v>24</v>
      </c>
      <c r="M88" s="51">
        <f>IF(Use_BOM_DF,Weather_Site!H91,IF(0.191*(Weather_Site!K91+104)*(Weather_Site!J91+1)^1.5/(3.52*(Weather_Site!J91+1)^1.5+Weather_Site!I91-1)&gt;10, 10,0.191*(Weather_Site!K91+104)*(Weather_Site!J91+1)^1.5/(3.52*(Weather_Site!J91+1)^1.5+Weather_Site!I91-1)))</f>
        <v>7.882539682539683</v>
      </c>
      <c r="N88" s="51">
        <f t="shared" si="34"/>
        <v>13.693713724947797</v>
      </c>
      <c r="O88" s="52">
        <f t="shared" si="35"/>
        <v>394.37895527849656</v>
      </c>
      <c r="P88" s="52">
        <f t="shared" si="36"/>
        <v>258.81467433738925</v>
      </c>
      <c r="Q88" s="51">
        <f t="shared" si="37"/>
        <v>8.8869264186204546</v>
      </c>
      <c r="R88" s="53">
        <f t="shared" si="38"/>
        <v>972.21211093076147</v>
      </c>
      <c r="S88" s="53">
        <f t="shared" si="39"/>
        <v>3855.046325148398</v>
      </c>
      <c r="T88" s="53">
        <f t="shared" si="40"/>
        <v>35187.657142857141</v>
      </c>
      <c r="U88" s="51">
        <f t="shared" si="41"/>
        <v>5.0621339625708437</v>
      </c>
      <c r="V88" s="52">
        <f t="shared" si="42"/>
        <v>6</v>
      </c>
      <c r="W88" s="52">
        <f t="shared" si="43"/>
        <v>15</v>
      </c>
      <c r="X88" s="51">
        <f t="shared" si="44"/>
        <v>8.9866206367149051</v>
      </c>
      <c r="Y88" s="51">
        <f t="shared" si="45"/>
        <v>7.9548000000000005</v>
      </c>
      <c r="Z88" s="51" t="e">
        <f>IF(Use_BOM_DF,M88/10,MIN(0.972+(0.342*LN(Weather_Site!J91))-(0.245*LN(Weather_Site!I91)),1))</f>
        <v>#NUM!</v>
      </c>
      <c r="AA88" s="52" t="e">
        <f t="shared" si="46"/>
        <v>#NUM!</v>
      </c>
      <c r="AB88" s="52" t="e">
        <f t="shared" si="47"/>
        <v>#NUM!</v>
      </c>
      <c r="AC88" s="52" t="e">
        <f t="shared" si="48"/>
        <v>#NUM!</v>
      </c>
      <c r="AD88" s="51" t="e">
        <f t="shared" si="49"/>
        <v>#NUM!</v>
      </c>
      <c r="AE88" s="51" t="e">
        <f t="shared" si="50"/>
        <v>#NUM!</v>
      </c>
      <c r="AF88" s="53" t="e">
        <f t="shared" si="51"/>
        <v>#NUM!</v>
      </c>
      <c r="AG88" s="323">
        <f t="shared" si="52"/>
        <v>13.869781330986385</v>
      </c>
    </row>
    <row r="89" spans="1:33" x14ac:dyDescent="0.25">
      <c r="A89" s="45" t="str">
        <f>Weather_Site!A92</f>
        <v>Wed</v>
      </c>
      <c r="B89" s="46">
        <f>Weather_Site!B92</f>
        <v>44552</v>
      </c>
      <c r="C89" s="47">
        <f>Weather_Site!C92</f>
        <v>0.5</v>
      </c>
      <c r="D89" s="48">
        <f>Weather_Site!D92</f>
        <v>29.8</v>
      </c>
      <c r="E89" s="48">
        <f>Weather_Site!E92</f>
        <v>26.2</v>
      </c>
      <c r="F89" s="49">
        <f>Weather_Site!F92</f>
        <v>170</v>
      </c>
      <c r="G89" s="48">
        <f>Weather_Site!G92</f>
        <v>17</v>
      </c>
      <c r="H89" s="48">
        <f>IF(Weather_Site!M92&lt;180,Weather_Site!M92+180,Weather_Site!M92-180)</f>
        <v>350</v>
      </c>
      <c r="I89" s="172">
        <f t="shared" si="30"/>
        <v>0</v>
      </c>
      <c r="J89" s="214">
        <f t="shared" si="31"/>
        <v>3</v>
      </c>
      <c r="K89" s="48">
        <f t="shared" si="33"/>
        <v>5.666666666666667</v>
      </c>
      <c r="L89" s="172">
        <f t="shared" si="32"/>
        <v>24</v>
      </c>
      <c r="M89" s="51">
        <f>IF(Use_BOM_DF,Weather_Site!H92,IF(0.191*(Weather_Site!K92+104)*(Weather_Site!J92+1)^1.5/(3.52*(Weather_Site!J92+1)^1.5+Weather_Site!I92-1)&gt;10, 10,0.191*(Weather_Site!K92+104)*(Weather_Site!J92+1)^1.5/(3.52*(Weather_Site!J92+1)^1.5+Weather_Site!I92-1)))</f>
        <v>7.882539682539683</v>
      </c>
      <c r="N89" s="51">
        <f t="shared" si="34"/>
        <v>16.152855987019556</v>
      </c>
      <c r="O89" s="52">
        <f t="shared" si="35"/>
        <v>465.20225242616323</v>
      </c>
      <c r="P89" s="52">
        <f t="shared" si="36"/>
        <v>312.52118612470872</v>
      </c>
      <c r="Q89" s="51">
        <f t="shared" si="37"/>
        <v>9.8076292815401231</v>
      </c>
      <c r="R89" s="53">
        <f t="shared" si="38"/>
        <v>1211.4532086955796</v>
      </c>
      <c r="S89" s="53">
        <f t="shared" si="39"/>
        <v>4547.3426248107453</v>
      </c>
      <c r="T89" s="53">
        <f t="shared" si="40"/>
        <v>35187.657142857141</v>
      </c>
      <c r="U89" s="51">
        <f t="shared" si="41"/>
        <v>4.6747008889892268</v>
      </c>
      <c r="V89" s="52">
        <f t="shared" si="42"/>
        <v>5.666666666666667</v>
      </c>
      <c r="W89" s="52">
        <f t="shared" si="43"/>
        <v>14.166666666666668</v>
      </c>
      <c r="X89" s="51">
        <f t="shared" si="44"/>
        <v>10.851430073774608</v>
      </c>
      <c r="Y89" s="51">
        <f t="shared" si="45"/>
        <v>5.2015999999999991</v>
      </c>
      <c r="Z89" s="51" t="e">
        <f>IF(Use_BOM_DF,M89/10,MIN(0.972+(0.342*LN(Weather_Site!J92))-(0.245*LN(Weather_Site!I92)),1))</f>
        <v>#NUM!</v>
      </c>
      <c r="AA89" s="52" t="e">
        <f t="shared" si="46"/>
        <v>#NUM!</v>
      </c>
      <c r="AB89" s="52" t="e">
        <f t="shared" si="47"/>
        <v>#NUM!</v>
      </c>
      <c r="AC89" s="52" t="e">
        <f t="shared" si="48"/>
        <v>#NUM!</v>
      </c>
      <c r="AD89" s="51" t="e">
        <f t="shared" si="49"/>
        <v>#NUM!</v>
      </c>
      <c r="AE89" s="51" t="e">
        <f t="shared" si="50"/>
        <v>#NUM!</v>
      </c>
      <c r="AF89" s="53" t="e">
        <f t="shared" si="51"/>
        <v>#NUM!</v>
      </c>
      <c r="AG89" s="323">
        <f t="shared" si="52"/>
        <v>16.014917890843137</v>
      </c>
    </row>
    <row r="90" spans="1:33" x14ac:dyDescent="0.25">
      <c r="A90" s="23" t="str">
        <f>Weather_Site!A93</f>
        <v>Wed</v>
      </c>
      <c r="B90" s="24">
        <f>Weather_Site!B93</f>
        <v>44552</v>
      </c>
      <c r="C90" s="25">
        <f>Weather_Site!C93</f>
        <v>0.54166666666666663</v>
      </c>
      <c r="D90" s="27">
        <f>Weather_Site!D93</f>
        <v>31.4</v>
      </c>
      <c r="E90" s="27">
        <f>Weather_Site!E93</f>
        <v>22.5</v>
      </c>
      <c r="F90" s="28">
        <f>Weather_Site!F93</f>
        <v>194</v>
      </c>
      <c r="G90" s="27">
        <f>Weather_Site!G93</f>
        <v>18</v>
      </c>
      <c r="H90" s="27">
        <f>IF(Weather_Site!M93&lt;180,Weather_Site!M93+180,Weather_Site!M93-180)</f>
        <v>14</v>
      </c>
      <c r="I90" s="172">
        <f t="shared" ref="I90:I121" si="53">C$5</f>
        <v>0</v>
      </c>
      <c r="J90" s="214">
        <f t="shared" ref="J90:J121" si="54">J$4</f>
        <v>3</v>
      </c>
      <c r="K90" s="27">
        <f t="shared" si="33"/>
        <v>6</v>
      </c>
      <c r="L90" s="172">
        <f t="shared" ref="L90:L121" si="55">C$4</f>
        <v>24</v>
      </c>
      <c r="M90" s="32">
        <f>IF(Use_BOM_DF,Weather_Site!H93,IF(0.191*(Weather_Site!K93+104)*(Weather_Site!J93+1)^1.5/(3.52*(Weather_Site!J93+1)^1.5+Weather_Site!I93-1)&gt;10, 10,0.191*(Weather_Site!K93+104)*(Weather_Site!J93+1)^1.5/(3.52*(Weather_Site!J93+1)^1.5+Weather_Site!I93-1)))</f>
        <v>7.882539682539683</v>
      </c>
      <c r="N90" s="32">
        <f t="shared" si="34"/>
        <v>19.830613406988512</v>
      </c>
      <c r="O90" s="33">
        <f t="shared" si="35"/>
        <v>571.12166612126907</v>
      </c>
      <c r="P90" s="33">
        <f t="shared" si="36"/>
        <v>374.80364011771849</v>
      </c>
      <c r="Q90" s="32">
        <f t="shared" si="37"/>
        <v>11.184581659576498</v>
      </c>
      <c r="R90" s="42">
        <f t="shared" si="38"/>
        <v>1569.2489881576469</v>
      </c>
      <c r="S90" s="42">
        <f t="shared" si="39"/>
        <v>5582.7027551170049</v>
      </c>
      <c r="T90" s="42">
        <f t="shared" si="40"/>
        <v>35187.657142857141</v>
      </c>
      <c r="U90" s="32">
        <f t="shared" si="41"/>
        <v>4.3456170442880557</v>
      </c>
      <c r="V90" s="33">
        <f t="shared" si="42"/>
        <v>6</v>
      </c>
      <c r="W90" s="33">
        <f t="shared" si="43"/>
        <v>15</v>
      </c>
      <c r="X90" s="32">
        <f t="shared" si="44"/>
        <v>13.014015281865227</v>
      </c>
      <c r="Y90" s="32">
        <f t="shared" si="45"/>
        <v>4.4375</v>
      </c>
      <c r="Z90" s="266" t="e">
        <f>IF(Use_BOM_DF,M90/10,MIN(0.972+(0.342*LN(Weather_Site!J93))-(0.245*LN(Weather_Site!I93)),1))</f>
        <v>#NUM!</v>
      </c>
      <c r="AA90" s="33" t="e">
        <f t="shared" si="46"/>
        <v>#NUM!</v>
      </c>
      <c r="AB90" s="33" t="e">
        <f t="shared" si="47"/>
        <v>#NUM!</v>
      </c>
      <c r="AC90" s="33" t="e">
        <f t="shared" si="48"/>
        <v>#NUM!</v>
      </c>
      <c r="AD90" s="32" t="e">
        <f t="shared" si="49"/>
        <v>#NUM!</v>
      </c>
      <c r="AE90" s="32" t="e">
        <f t="shared" si="50"/>
        <v>#NUM!</v>
      </c>
      <c r="AF90" s="42" t="e">
        <f t="shared" si="51"/>
        <v>#NUM!</v>
      </c>
      <c r="AG90" s="83">
        <f t="shared" si="52"/>
        <v>19.110066442529245</v>
      </c>
    </row>
    <row r="91" spans="1:33" x14ac:dyDescent="0.25">
      <c r="A91" s="23" t="str">
        <f>Weather_Site!A94</f>
        <v>Wed</v>
      </c>
      <c r="B91" s="24">
        <f>Weather_Site!B94</f>
        <v>44552</v>
      </c>
      <c r="C91" s="25">
        <f>Weather_Site!C94</f>
        <v>0.58333333333333337</v>
      </c>
      <c r="D91" s="27">
        <f>Weather_Site!D94</f>
        <v>33.1</v>
      </c>
      <c r="E91" s="27">
        <f>Weather_Site!E94</f>
        <v>18.8</v>
      </c>
      <c r="F91" s="28">
        <f>Weather_Site!F94</f>
        <v>198</v>
      </c>
      <c r="G91" s="27">
        <f>Weather_Site!G94</f>
        <v>18</v>
      </c>
      <c r="H91" s="27">
        <f>IF(Weather_Site!M94&lt;180,Weather_Site!M94+180,Weather_Site!M94-180)</f>
        <v>18</v>
      </c>
      <c r="I91" s="172">
        <f t="shared" si="53"/>
        <v>0</v>
      </c>
      <c r="J91" s="214">
        <f t="shared" si="54"/>
        <v>3</v>
      </c>
      <c r="K91" s="27">
        <f t="shared" si="33"/>
        <v>6</v>
      </c>
      <c r="L91" s="172">
        <f t="shared" si="55"/>
        <v>24</v>
      </c>
      <c r="M91" s="32">
        <f>IF(Use_BOM_DF,Weather_Site!H94,IF(0.191*(Weather_Site!K94+104)*(Weather_Site!J94+1)^1.5/(3.52*(Weather_Site!J94+1)^1.5+Weather_Site!I94-1)&gt;10, 10,0.191*(Weather_Site!K94+104)*(Weather_Site!J94+1)^1.5/(3.52*(Weather_Site!J94+1)^1.5+Weather_Site!I94-1)))</f>
        <v>7.882539682539683</v>
      </c>
      <c r="N91" s="32">
        <f t="shared" si="34"/>
        <v>23.863184536264104</v>
      </c>
      <c r="O91" s="33">
        <f t="shared" si="35"/>
        <v>687.25971464440613</v>
      </c>
      <c r="P91" s="33">
        <f t="shared" si="36"/>
        <v>451.02026071672975</v>
      </c>
      <c r="Q91" s="32">
        <f t="shared" si="37"/>
        <v>12.69437629037728</v>
      </c>
      <c r="R91" s="42">
        <f t="shared" si="38"/>
        <v>1961.5633160688044</v>
      </c>
      <c r="S91" s="42">
        <f t="shared" si="39"/>
        <v>6717.9498345481661</v>
      </c>
      <c r="T91" s="42">
        <f t="shared" si="40"/>
        <v>35187.657142857141</v>
      </c>
      <c r="U91" s="32">
        <f t="shared" si="41"/>
        <v>4.0530673909372013</v>
      </c>
      <c r="V91" s="33">
        <f t="shared" si="42"/>
        <v>6</v>
      </c>
      <c r="W91" s="33">
        <f t="shared" si="43"/>
        <v>15</v>
      </c>
      <c r="X91" s="32">
        <f t="shared" si="44"/>
        <v>15.660425719330895</v>
      </c>
      <c r="Y91" s="32">
        <f t="shared" si="45"/>
        <v>3.6564000000000001</v>
      </c>
      <c r="Z91" s="266" t="e">
        <f>IF(Use_BOM_DF,M91/10,MIN(0.972+(0.342*LN(Weather_Site!J94))-(0.245*LN(Weather_Site!I94)),1))</f>
        <v>#NUM!</v>
      </c>
      <c r="AA91" s="33" t="e">
        <f t="shared" si="46"/>
        <v>#NUM!</v>
      </c>
      <c r="AB91" s="33" t="e">
        <f t="shared" si="47"/>
        <v>#NUM!</v>
      </c>
      <c r="AC91" s="33" t="e">
        <f t="shared" si="48"/>
        <v>#NUM!</v>
      </c>
      <c r="AD91" s="32" t="e">
        <f t="shared" si="49"/>
        <v>#NUM!</v>
      </c>
      <c r="AE91" s="32" t="e">
        <f t="shared" si="50"/>
        <v>#NUM!</v>
      </c>
      <c r="AF91" s="42" t="e">
        <f t="shared" si="51"/>
        <v>#NUM!</v>
      </c>
      <c r="AG91" s="83">
        <f t="shared" si="52"/>
        <v>22.12199109882107</v>
      </c>
    </row>
    <row r="92" spans="1:33" x14ac:dyDescent="0.25">
      <c r="A92" s="23" t="str">
        <f>Weather_Site!A95</f>
        <v>Wed</v>
      </c>
      <c r="B92" s="24">
        <f>Weather_Site!B95</f>
        <v>44552</v>
      </c>
      <c r="C92" s="25">
        <f>Weather_Site!C95</f>
        <v>0.625</v>
      </c>
      <c r="D92" s="27">
        <f>Weather_Site!D95</f>
        <v>34</v>
      </c>
      <c r="E92" s="27">
        <f>Weather_Site!E95</f>
        <v>16.100000000000001</v>
      </c>
      <c r="F92" s="28">
        <f>Weather_Site!F95</f>
        <v>200</v>
      </c>
      <c r="G92" s="27">
        <f>Weather_Site!G95</f>
        <v>17</v>
      </c>
      <c r="H92" s="27">
        <f>IF(Weather_Site!M95&lt;180,Weather_Site!M95+180,Weather_Site!M95-180)</f>
        <v>20</v>
      </c>
      <c r="I92" s="172">
        <f t="shared" si="53"/>
        <v>0</v>
      </c>
      <c r="J92" s="214">
        <f t="shared" si="54"/>
        <v>3</v>
      </c>
      <c r="K92" s="27">
        <f t="shared" si="33"/>
        <v>5.666666666666667</v>
      </c>
      <c r="L92" s="172">
        <f t="shared" si="55"/>
        <v>24</v>
      </c>
      <c r="M92" s="32">
        <f>IF(Use_BOM_DF,Weather_Site!H95,IF(0.191*(Weather_Site!K95+104)*(Weather_Site!J95+1)^1.5/(3.52*(Weather_Site!J95+1)^1.5+Weather_Site!I95-1)&gt;10, 10,0.191*(Weather_Site!K95+104)*(Weather_Site!J95+1)^1.5/(3.52*(Weather_Site!J95+1)^1.5+Weather_Site!I95-1)))</f>
        <v>7.882539682539683</v>
      </c>
      <c r="N92" s="32">
        <f t="shared" si="34"/>
        <v>26.377381335847126</v>
      </c>
      <c r="O92" s="33">
        <f t="shared" si="35"/>
        <v>759.66858247239713</v>
      </c>
      <c r="P92" s="33">
        <f t="shared" si="36"/>
        <v>510.34259876811694</v>
      </c>
      <c r="Q92" s="32">
        <f t="shared" si="37"/>
        <v>13.635691572141162</v>
      </c>
      <c r="R92" s="42">
        <f t="shared" si="38"/>
        <v>2206.1604715917579</v>
      </c>
      <c r="S92" s="42">
        <f t="shared" si="39"/>
        <v>7425.7450555972555</v>
      </c>
      <c r="T92" s="42">
        <f t="shared" si="40"/>
        <v>35187.657142857141</v>
      </c>
      <c r="U92" s="32">
        <f t="shared" si="41"/>
        <v>3.8692796165839574</v>
      </c>
      <c r="V92" s="33">
        <f t="shared" si="42"/>
        <v>5.666666666666667</v>
      </c>
      <c r="W92" s="33">
        <f t="shared" si="43"/>
        <v>14.166666666666668</v>
      </c>
      <c r="X92" s="32">
        <f t="shared" si="44"/>
        <v>17.720229123892953</v>
      </c>
      <c r="Y92" s="32">
        <f t="shared" si="45"/>
        <v>3.1443000000000003</v>
      </c>
      <c r="Z92" s="266" t="e">
        <f>IF(Use_BOM_DF,M92/10,MIN(0.972+(0.342*LN(Weather_Site!J95))-(0.245*LN(Weather_Site!I95)),1))</f>
        <v>#NUM!</v>
      </c>
      <c r="AA92" s="33" t="e">
        <f t="shared" si="46"/>
        <v>#NUM!</v>
      </c>
      <c r="AB92" s="33" t="e">
        <f t="shared" si="47"/>
        <v>#NUM!</v>
      </c>
      <c r="AC92" s="33" t="e">
        <f t="shared" si="48"/>
        <v>#NUM!</v>
      </c>
      <c r="AD92" s="32" t="e">
        <f t="shared" si="49"/>
        <v>#NUM!</v>
      </c>
      <c r="AE92" s="32" t="e">
        <f t="shared" si="50"/>
        <v>#NUM!</v>
      </c>
      <c r="AF92" s="42" t="e">
        <f t="shared" si="51"/>
        <v>#NUM!</v>
      </c>
      <c r="AG92" s="83">
        <f t="shared" si="52"/>
        <v>23.822345119759557</v>
      </c>
    </row>
    <row r="93" spans="1:33" x14ac:dyDescent="0.25">
      <c r="A93" s="23" t="str">
        <f>Weather_Site!A96</f>
        <v>Wed</v>
      </c>
      <c r="B93" s="24">
        <f>Weather_Site!B96</f>
        <v>44552</v>
      </c>
      <c r="C93" s="25">
        <f>Weather_Site!C96</f>
        <v>0.66666666666666663</v>
      </c>
      <c r="D93" s="27">
        <f>Weather_Site!D96</f>
        <v>34.5</v>
      </c>
      <c r="E93" s="27">
        <f>Weather_Site!E96</f>
        <v>14.9</v>
      </c>
      <c r="F93" s="28">
        <f>Weather_Site!F96</f>
        <v>202</v>
      </c>
      <c r="G93" s="27">
        <f>Weather_Site!G96</f>
        <v>19</v>
      </c>
      <c r="H93" s="27">
        <f>IF(Weather_Site!M96&lt;180,Weather_Site!M96+180,Weather_Site!M96-180)</f>
        <v>22</v>
      </c>
      <c r="I93" s="172">
        <f t="shared" si="53"/>
        <v>0</v>
      </c>
      <c r="J93" s="214">
        <f t="shared" si="54"/>
        <v>3</v>
      </c>
      <c r="K93" s="27">
        <f t="shared" si="33"/>
        <v>6.333333333333333</v>
      </c>
      <c r="L93" s="172">
        <f t="shared" si="55"/>
        <v>24</v>
      </c>
      <c r="M93" s="32">
        <f>IF(Use_BOM_DF,Weather_Site!H96,IF(0.191*(Weather_Site!K96+104)*(Weather_Site!J96+1)^1.5/(3.52*(Weather_Site!J96+1)^1.5+Weather_Site!I96-1)&gt;10, 10,0.191*(Weather_Site!K96+104)*(Weather_Site!J96+1)^1.5/(3.52*(Weather_Site!J96+1)^1.5+Weather_Site!I96-1)))</f>
        <v>7.882539682539683</v>
      </c>
      <c r="N93" s="32">
        <f t="shared" si="34"/>
        <v>29.300567233349337</v>
      </c>
      <c r="O93" s="33">
        <f t="shared" si="35"/>
        <v>843.85633632046074</v>
      </c>
      <c r="P93" s="33">
        <f t="shared" si="36"/>
        <v>540.97997451502226</v>
      </c>
      <c r="Q93" s="32">
        <f t="shared" si="37"/>
        <v>14.73013237216599</v>
      </c>
      <c r="R93" s="42">
        <f t="shared" si="38"/>
        <v>2490.5467040905169</v>
      </c>
      <c r="S93" s="42">
        <f t="shared" si="39"/>
        <v>8248.6786496712393</v>
      </c>
      <c r="T93" s="42">
        <f t="shared" si="40"/>
        <v>35187.657142857141</v>
      </c>
      <c r="U93" s="32">
        <f t="shared" si="41"/>
        <v>3.7903821215081801</v>
      </c>
      <c r="V93" s="33">
        <f t="shared" si="42"/>
        <v>6.333333333333333</v>
      </c>
      <c r="W93" s="33">
        <f t="shared" si="43"/>
        <v>15.833333333333334</v>
      </c>
      <c r="X93" s="32">
        <f t="shared" si="44"/>
        <v>18.784026892882718</v>
      </c>
      <c r="Y93" s="32">
        <f t="shared" si="45"/>
        <v>2.8997000000000002</v>
      </c>
      <c r="Z93" s="266" t="e">
        <f>IF(Use_BOM_DF,M93/10,MIN(0.972+(0.342*LN(Weather_Site!J96))-(0.245*LN(Weather_Site!I96)),1))</f>
        <v>#NUM!</v>
      </c>
      <c r="AA93" s="33" t="e">
        <f t="shared" si="46"/>
        <v>#NUM!</v>
      </c>
      <c r="AB93" s="33" t="e">
        <f t="shared" si="47"/>
        <v>#NUM!</v>
      </c>
      <c r="AC93" s="33" t="e">
        <f t="shared" si="48"/>
        <v>#NUM!</v>
      </c>
      <c r="AD93" s="32" t="e">
        <f t="shared" si="49"/>
        <v>#NUM!</v>
      </c>
      <c r="AE93" s="32" t="e">
        <f t="shared" si="50"/>
        <v>#NUM!</v>
      </c>
      <c r="AF93" s="42" t="e">
        <f t="shared" si="51"/>
        <v>#NUM!</v>
      </c>
      <c r="AG93" s="83">
        <f t="shared" si="52"/>
        <v>26.067443870493424</v>
      </c>
    </row>
    <row r="94" spans="1:33" x14ac:dyDescent="0.25">
      <c r="A94" s="23" t="str">
        <f>Weather_Site!A97</f>
        <v>Wed</v>
      </c>
      <c r="B94" s="24">
        <f>Weather_Site!B97</f>
        <v>44552</v>
      </c>
      <c r="C94" s="25">
        <f>Weather_Site!C97</f>
        <v>0.70833333333333337</v>
      </c>
      <c r="D94" s="27">
        <f>Weather_Site!D97</f>
        <v>34.700000000000003</v>
      </c>
      <c r="E94" s="27">
        <f>Weather_Site!E97</f>
        <v>13.7</v>
      </c>
      <c r="F94" s="28">
        <f>Weather_Site!F97</f>
        <v>203</v>
      </c>
      <c r="G94" s="27">
        <f>Weather_Site!G97</f>
        <v>19</v>
      </c>
      <c r="H94" s="27">
        <f>IF(Weather_Site!M97&lt;180,Weather_Site!M97+180,Weather_Site!M97-180)</f>
        <v>23</v>
      </c>
      <c r="I94" s="172">
        <f t="shared" si="53"/>
        <v>0</v>
      </c>
      <c r="J94" s="214">
        <f t="shared" si="54"/>
        <v>3</v>
      </c>
      <c r="K94" s="27">
        <f t="shared" si="33"/>
        <v>6.333333333333333</v>
      </c>
      <c r="L94" s="172">
        <f t="shared" si="55"/>
        <v>24</v>
      </c>
      <c r="M94" s="32">
        <f>IF(Use_BOM_DF,Weather_Site!H97,IF(0.191*(Weather_Site!K97+104)*(Weather_Site!J97+1)^1.5/(3.52*(Weather_Site!J97+1)^1.5+Weather_Site!I97-1)&gt;10, 10,0.191*(Weather_Site!K97+104)*(Weather_Site!J97+1)^1.5/(3.52*(Weather_Site!J97+1)^1.5+Weather_Site!I97-1)))</f>
        <v>7.882539682539683</v>
      </c>
      <c r="N94" s="32">
        <f t="shared" si="34"/>
        <v>30.746214326353485</v>
      </c>
      <c r="O94" s="33">
        <f t="shared" si="35"/>
        <v>885.49097259898031</v>
      </c>
      <c r="P94" s="33">
        <f t="shared" si="36"/>
        <v>567.67113449505723</v>
      </c>
      <c r="Q94" s="32">
        <f t="shared" si="37"/>
        <v>15.271382643786744</v>
      </c>
      <c r="R94" s="42">
        <f t="shared" si="38"/>
        <v>2631.188505439356</v>
      </c>
      <c r="S94" s="42">
        <f t="shared" si="39"/>
        <v>8655.6563786706356</v>
      </c>
      <c r="T94" s="42">
        <f t="shared" si="40"/>
        <v>35187.657142857141</v>
      </c>
      <c r="U94" s="32">
        <f t="shared" si="41"/>
        <v>3.7196389422101448</v>
      </c>
      <c r="V94" s="33">
        <f t="shared" si="42"/>
        <v>6.333333333333333</v>
      </c>
      <c r="W94" s="33">
        <f t="shared" si="43"/>
        <v>15.833333333333334</v>
      </c>
      <c r="X94" s="32">
        <f t="shared" si="44"/>
        <v>19.710803281078377</v>
      </c>
      <c r="Y94" s="32">
        <f t="shared" si="45"/>
        <v>2.7060999999999993</v>
      </c>
      <c r="Z94" s="266" t="e">
        <f>IF(Use_BOM_DF,M94/10,MIN(0.972+(0.342*LN(Weather_Site!J97))-(0.245*LN(Weather_Site!I97)),1))</f>
        <v>#NUM!</v>
      </c>
      <c r="AA94" s="33" t="e">
        <f t="shared" si="46"/>
        <v>#NUM!</v>
      </c>
      <c r="AB94" s="33" t="e">
        <f t="shared" si="47"/>
        <v>#NUM!</v>
      </c>
      <c r="AC94" s="33" t="e">
        <f t="shared" si="48"/>
        <v>#NUM!</v>
      </c>
      <c r="AD94" s="32" t="e">
        <f t="shared" si="49"/>
        <v>#NUM!</v>
      </c>
      <c r="AE94" s="32" t="e">
        <f t="shared" si="50"/>
        <v>#NUM!</v>
      </c>
      <c r="AF94" s="42" t="e">
        <f t="shared" si="51"/>
        <v>#NUM!</v>
      </c>
      <c r="AG94" s="83">
        <f t="shared" si="52"/>
        <v>27.119463024707244</v>
      </c>
    </row>
    <row r="95" spans="1:33" x14ac:dyDescent="0.25">
      <c r="A95" s="45" t="str">
        <f>Weather_Site!A98</f>
        <v>Wed</v>
      </c>
      <c r="B95" s="46">
        <f>Weather_Site!B98</f>
        <v>44552</v>
      </c>
      <c r="C95" s="47">
        <f>Weather_Site!C98</f>
        <v>0.75</v>
      </c>
      <c r="D95" s="48">
        <f>Weather_Site!D98</f>
        <v>34</v>
      </c>
      <c r="E95" s="48">
        <f>Weather_Site!E98</f>
        <v>14.3</v>
      </c>
      <c r="F95" s="49">
        <f>Weather_Site!F98</f>
        <v>204</v>
      </c>
      <c r="G95" s="48">
        <f>Weather_Site!G98</f>
        <v>21</v>
      </c>
      <c r="H95" s="48">
        <f>IF(Weather_Site!M98&lt;180,Weather_Site!M98+180,Weather_Site!M98-180)</f>
        <v>24</v>
      </c>
      <c r="I95" s="172">
        <f t="shared" si="53"/>
        <v>0</v>
      </c>
      <c r="J95" s="214">
        <f t="shared" si="54"/>
        <v>3</v>
      </c>
      <c r="K95" s="48">
        <f t="shared" si="33"/>
        <v>7</v>
      </c>
      <c r="L95" s="172">
        <f t="shared" si="55"/>
        <v>24</v>
      </c>
      <c r="M95" s="51">
        <f>IF(Use_BOM_DF,Weather_Site!H98,IF(0.191*(Weather_Site!K98+104)*(Weather_Site!J98+1)^1.5/(3.52*(Weather_Site!J98+1)^1.5+Weather_Site!I98-1)&gt;10, 10,0.191*(Weather_Site!K98+104)*(Weather_Site!J98+1)^1.5/(3.52*(Weather_Site!J98+1)^1.5+Weather_Site!I98-1)))</f>
        <v>7.882539682539683</v>
      </c>
      <c r="N95" s="51">
        <f t="shared" si="34"/>
        <v>30.821326689126629</v>
      </c>
      <c r="O95" s="52">
        <f t="shared" si="35"/>
        <v>887.65420864684688</v>
      </c>
      <c r="P95" s="52">
        <f t="shared" si="36"/>
        <v>543.03960924574085</v>
      </c>
      <c r="Q95" s="51">
        <f t="shared" si="37"/>
        <v>15.299504712409011</v>
      </c>
      <c r="R95" s="53">
        <f t="shared" si="38"/>
        <v>2638.495916809049</v>
      </c>
      <c r="S95" s="53">
        <f t="shared" si="39"/>
        <v>8676.8019673617655</v>
      </c>
      <c r="T95" s="53">
        <f t="shared" si="40"/>
        <v>35187.657142857141</v>
      </c>
      <c r="U95" s="51">
        <f t="shared" si="41"/>
        <v>3.7654701230210104</v>
      </c>
      <c r="V95" s="52">
        <f t="shared" si="42"/>
        <v>7</v>
      </c>
      <c r="W95" s="52">
        <f t="shared" si="43"/>
        <v>17.5</v>
      </c>
      <c r="X95" s="51">
        <f t="shared" si="44"/>
        <v>18.855541987699336</v>
      </c>
      <c r="Y95" s="51">
        <f t="shared" si="45"/>
        <v>2.9049000000000005</v>
      </c>
      <c r="Z95" s="51" t="e">
        <f>IF(Use_BOM_DF,M95/10,MIN(0.972+(0.342*LN(Weather_Site!J98))-(0.245*LN(Weather_Site!I98)),1))</f>
        <v>#NUM!</v>
      </c>
      <c r="AA95" s="52" t="e">
        <f t="shared" si="46"/>
        <v>#NUM!</v>
      </c>
      <c r="AB95" s="52" t="e">
        <f t="shared" si="47"/>
        <v>#NUM!</v>
      </c>
      <c r="AC95" s="52" t="e">
        <f t="shared" si="48"/>
        <v>#NUM!</v>
      </c>
      <c r="AD95" s="51" t="e">
        <f t="shared" si="49"/>
        <v>#NUM!</v>
      </c>
      <c r="AE95" s="51" t="e">
        <f t="shared" si="50"/>
        <v>#NUM!</v>
      </c>
      <c r="AF95" s="53" t="e">
        <f t="shared" si="51"/>
        <v>#NUM!</v>
      </c>
      <c r="AG95" s="323">
        <f t="shared" si="52"/>
        <v>27.69729683347699</v>
      </c>
    </row>
    <row r="96" spans="1:33" x14ac:dyDescent="0.25">
      <c r="A96" s="45" t="str">
        <f>Weather_Site!A99</f>
        <v>Wed</v>
      </c>
      <c r="B96" s="46">
        <f>Weather_Site!B99</f>
        <v>44552</v>
      </c>
      <c r="C96" s="47">
        <f>Weather_Site!C99</f>
        <v>0.79166666666666663</v>
      </c>
      <c r="D96" s="48">
        <f>Weather_Site!D99</f>
        <v>33.4</v>
      </c>
      <c r="E96" s="48">
        <f>Weather_Site!E99</f>
        <v>14.5</v>
      </c>
      <c r="F96" s="49">
        <f>Weather_Site!F99</f>
        <v>204</v>
      </c>
      <c r="G96" s="48">
        <f>Weather_Site!G99</f>
        <v>19</v>
      </c>
      <c r="H96" s="48">
        <f>IF(Weather_Site!M99&lt;180,Weather_Site!M99+180,Weather_Site!M99-180)</f>
        <v>24</v>
      </c>
      <c r="I96" s="172">
        <f t="shared" si="53"/>
        <v>0</v>
      </c>
      <c r="J96" s="214">
        <f t="shared" si="54"/>
        <v>3</v>
      </c>
      <c r="K96" s="48">
        <f t="shared" si="33"/>
        <v>6.333333333333333</v>
      </c>
      <c r="L96" s="172">
        <f t="shared" si="55"/>
        <v>24</v>
      </c>
      <c r="M96" s="51">
        <f>IF(Use_BOM_DF,Weather_Site!H99,IF(0.191*(Weather_Site!K99+104)*(Weather_Site!J99+1)^1.5/(3.52*(Weather_Site!J99+1)^1.5+Weather_Site!I99-1)&gt;10, 10,0.191*(Weather_Site!K99+104)*(Weather_Site!J99+1)^1.5/(3.52*(Weather_Site!J99+1)^1.5+Weather_Site!I99-1)))</f>
        <v>7.882539682539683</v>
      </c>
      <c r="N96" s="51">
        <f t="shared" si="34"/>
        <v>28.623466126424766</v>
      </c>
      <c r="O96" s="52">
        <f t="shared" si="35"/>
        <v>824.35582444103318</v>
      </c>
      <c r="P96" s="52">
        <f t="shared" si="36"/>
        <v>528.47857354721998</v>
      </c>
      <c r="Q96" s="51">
        <f t="shared" si="37"/>
        <v>14.476625717733434</v>
      </c>
      <c r="R96" s="53">
        <f t="shared" si="38"/>
        <v>2424.6739749618105</v>
      </c>
      <c r="S96" s="53">
        <f t="shared" si="39"/>
        <v>8058.061539774455</v>
      </c>
      <c r="T96" s="53">
        <f t="shared" si="40"/>
        <v>35187.657142857141</v>
      </c>
      <c r="U96" s="51">
        <f t="shared" si="41"/>
        <v>3.7877802410284871</v>
      </c>
      <c r="V96" s="52">
        <f t="shared" si="42"/>
        <v>6.333333333333333</v>
      </c>
      <c r="W96" s="52">
        <f t="shared" si="43"/>
        <v>15.833333333333334</v>
      </c>
      <c r="X96" s="51">
        <f t="shared" si="44"/>
        <v>18.349950470389583</v>
      </c>
      <c r="Y96" s="51">
        <f t="shared" si="45"/>
        <v>3.0335000000000005</v>
      </c>
      <c r="Z96" s="51" t="e">
        <f>IF(Use_BOM_DF,M96/10,MIN(0.972+(0.342*LN(Weather_Site!J99))-(0.245*LN(Weather_Site!I99)),1))</f>
        <v>#NUM!</v>
      </c>
      <c r="AA96" s="52" t="e">
        <f t="shared" si="46"/>
        <v>#NUM!</v>
      </c>
      <c r="AB96" s="52" t="e">
        <f t="shared" si="47"/>
        <v>#NUM!</v>
      </c>
      <c r="AC96" s="52" t="e">
        <f t="shared" si="48"/>
        <v>#NUM!</v>
      </c>
      <c r="AD96" s="51" t="e">
        <f t="shared" si="49"/>
        <v>#NUM!</v>
      </c>
      <c r="AE96" s="51" t="e">
        <f t="shared" si="50"/>
        <v>#NUM!</v>
      </c>
      <c r="AF96" s="53" t="e">
        <f t="shared" si="51"/>
        <v>#NUM!</v>
      </c>
      <c r="AG96" s="323">
        <f t="shared" si="52"/>
        <v>26.105060888149257</v>
      </c>
    </row>
    <row r="97" spans="1:33" x14ac:dyDescent="0.25">
      <c r="A97" s="45" t="str">
        <f>Weather_Site!A100</f>
        <v>Wed</v>
      </c>
      <c r="B97" s="46">
        <f>Weather_Site!B100</f>
        <v>44552</v>
      </c>
      <c r="C97" s="47">
        <f>Weather_Site!C100</f>
        <v>0.83333333333333337</v>
      </c>
      <c r="D97" s="48">
        <f>Weather_Site!D100</f>
        <v>31.9</v>
      </c>
      <c r="E97" s="48">
        <f>Weather_Site!E100</f>
        <v>16</v>
      </c>
      <c r="F97" s="49">
        <f>Weather_Site!F100</f>
        <v>204</v>
      </c>
      <c r="G97" s="48">
        <f>Weather_Site!G100</f>
        <v>17</v>
      </c>
      <c r="H97" s="48">
        <f>IF(Weather_Site!M100&lt;180,Weather_Site!M100+180,Weather_Site!M100-180)</f>
        <v>24</v>
      </c>
      <c r="I97" s="172">
        <f t="shared" si="53"/>
        <v>0</v>
      </c>
      <c r="J97" s="214">
        <f t="shared" si="54"/>
        <v>3</v>
      </c>
      <c r="K97" s="48">
        <f t="shared" si="33"/>
        <v>5.666666666666667</v>
      </c>
      <c r="L97" s="172">
        <f t="shared" si="55"/>
        <v>24</v>
      </c>
      <c r="M97" s="51">
        <f>IF(Use_BOM_DF,Weather_Site!H100,IF(0.191*(Weather_Site!K100+104)*(Weather_Site!J100+1)^1.5/(3.52*(Weather_Site!J100+1)^1.5+Weather_Site!I100-1)&gt;10, 10,0.191*(Weather_Site!K100+104)*(Weather_Site!J100+1)^1.5/(3.52*(Weather_Site!J100+1)^1.5+Weather_Site!I100-1)))</f>
        <v>7.882539682539683</v>
      </c>
      <c r="N97" s="51">
        <f t="shared" si="34"/>
        <v>24.654929872885113</v>
      </c>
      <c r="O97" s="52">
        <f t="shared" si="35"/>
        <v>710.06198033909118</v>
      </c>
      <c r="P97" s="52">
        <f t="shared" si="36"/>
        <v>477.01706335322137</v>
      </c>
      <c r="Q97" s="51">
        <f t="shared" si="37"/>
        <v>12.990805744408187</v>
      </c>
      <c r="R97" s="53">
        <f t="shared" si="38"/>
        <v>2038.5893695854502</v>
      </c>
      <c r="S97" s="53">
        <f t="shared" si="39"/>
        <v>6940.8415213251092</v>
      </c>
      <c r="T97" s="53">
        <f t="shared" si="40"/>
        <v>35187.657142857141</v>
      </c>
      <c r="U97" s="51">
        <f t="shared" si="41"/>
        <v>3.9067360678418925</v>
      </c>
      <c r="V97" s="52">
        <f t="shared" si="42"/>
        <v>5.666666666666667</v>
      </c>
      <c r="W97" s="52">
        <f t="shared" si="43"/>
        <v>14.166666666666668</v>
      </c>
      <c r="X97" s="51">
        <f t="shared" si="44"/>
        <v>16.563092477542412</v>
      </c>
      <c r="Y97" s="51">
        <f t="shared" si="45"/>
        <v>3.4880000000000004</v>
      </c>
      <c r="Z97" s="51" t="e">
        <f>IF(Use_BOM_DF,M97/10,MIN(0.972+(0.342*LN(Weather_Site!J100))-(0.245*LN(Weather_Site!I100)),1))</f>
        <v>#NUM!</v>
      </c>
      <c r="AA97" s="52" t="e">
        <f t="shared" si="46"/>
        <v>#NUM!</v>
      </c>
      <c r="AB97" s="52" t="e">
        <f t="shared" si="47"/>
        <v>#NUM!</v>
      </c>
      <c r="AC97" s="52" t="e">
        <f t="shared" si="48"/>
        <v>#NUM!</v>
      </c>
      <c r="AD97" s="51" t="e">
        <f t="shared" si="49"/>
        <v>#NUM!</v>
      </c>
      <c r="AE97" s="51" t="e">
        <f t="shared" si="50"/>
        <v>#NUM!</v>
      </c>
      <c r="AF97" s="53" t="e">
        <f t="shared" si="51"/>
        <v>#NUM!</v>
      </c>
      <c r="AG97" s="323">
        <f t="shared" si="52"/>
        <v>23.345232488628145</v>
      </c>
    </row>
    <row r="98" spans="1:33" x14ac:dyDescent="0.25">
      <c r="A98" s="45" t="str">
        <f>Weather_Site!A101</f>
        <v>Wed</v>
      </c>
      <c r="B98" s="46">
        <f>Weather_Site!B101</f>
        <v>44552</v>
      </c>
      <c r="C98" s="47">
        <f>Weather_Site!C101</f>
        <v>0.875</v>
      </c>
      <c r="D98" s="48">
        <f>Weather_Site!D101</f>
        <v>29.2</v>
      </c>
      <c r="E98" s="48">
        <f>Weather_Site!E101</f>
        <v>19.3</v>
      </c>
      <c r="F98" s="49">
        <f>Weather_Site!F101</f>
        <v>198</v>
      </c>
      <c r="G98" s="48">
        <f>Weather_Site!G101</f>
        <v>15</v>
      </c>
      <c r="H98" s="48">
        <f>IF(Weather_Site!M101&lt;180,Weather_Site!M101+180,Weather_Site!M101-180)</f>
        <v>18</v>
      </c>
      <c r="I98" s="172">
        <f t="shared" si="53"/>
        <v>0</v>
      </c>
      <c r="J98" s="214">
        <f t="shared" si="54"/>
        <v>3</v>
      </c>
      <c r="K98" s="48">
        <f t="shared" si="33"/>
        <v>5</v>
      </c>
      <c r="L98" s="172">
        <f t="shared" si="55"/>
        <v>24</v>
      </c>
      <c r="M98" s="51">
        <f>IF(Use_BOM_DF,Weather_Site!H101,IF(0.191*(Weather_Site!K101+104)*(Weather_Site!J101+1)^1.5/(3.52*(Weather_Site!J101+1)^1.5+Weather_Site!I101-1)&gt;10, 10,0.191*(Weather_Site!K101+104)*(Weather_Site!J101+1)^1.5/(3.52*(Weather_Site!J101+1)^1.5+Weather_Site!I101-1)))</f>
        <v>7.882539682539683</v>
      </c>
      <c r="N98" s="51">
        <f t="shared" si="34"/>
        <v>19.164639251076959</v>
      </c>
      <c r="O98" s="52">
        <f t="shared" si="35"/>
        <v>551.94161043101644</v>
      </c>
      <c r="P98" s="52">
        <f t="shared" si="36"/>
        <v>388.55792682034371</v>
      </c>
      <c r="Q98" s="51">
        <f t="shared" si="37"/>
        <v>10.935240935603215</v>
      </c>
      <c r="R98" s="53">
        <f t="shared" si="38"/>
        <v>1504.4587600359732</v>
      </c>
      <c r="S98" s="53">
        <f t="shared" si="39"/>
        <v>5395.2180979992427</v>
      </c>
      <c r="T98" s="53">
        <f t="shared" si="40"/>
        <v>35187.657142857141</v>
      </c>
      <c r="U98" s="51">
        <f t="shared" si="41"/>
        <v>4.1876674387666855</v>
      </c>
      <c r="V98" s="52">
        <f t="shared" si="42"/>
        <v>5</v>
      </c>
      <c r="W98" s="52">
        <f t="shared" si="43"/>
        <v>12.5</v>
      </c>
      <c r="X98" s="51">
        <f t="shared" si="44"/>
        <v>13.491594681261935</v>
      </c>
      <c r="Y98" s="51">
        <f t="shared" si="45"/>
        <v>4.3859000000000004</v>
      </c>
      <c r="Z98" s="51" t="e">
        <f>IF(Use_BOM_DF,M98/10,MIN(0.972+(0.342*LN(Weather_Site!J101))-(0.245*LN(Weather_Site!I101)),1))</f>
        <v>#NUM!</v>
      </c>
      <c r="AA98" s="52" t="e">
        <f t="shared" si="46"/>
        <v>#NUM!</v>
      </c>
      <c r="AB98" s="52" t="e">
        <f t="shared" si="47"/>
        <v>#NUM!</v>
      </c>
      <c r="AC98" s="52" t="e">
        <f t="shared" si="48"/>
        <v>#NUM!</v>
      </c>
      <c r="AD98" s="51" t="e">
        <f t="shared" si="49"/>
        <v>#NUM!</v>
      </c>
      <c r="AE98" s="51" t="e">
        <f t="shared" si="50"/>
        <v>#NUM!</v>
      </c>
      <c r="AF98" s="53" t="e">
        <f t="shared" si="51"/>
        <v>#NUM!</v>
      </c>
      <c r="AG98" s="323">
        <f t="shared" si="52"/>
        <v>19.254896303735599</v>
      </c>
    </row>
    <row r="99" spans="1:33" x14ac:dyDescent="0.25">
      <c r="A99" s="45" t="str">
        <f>Weather_Site!A102</f>
        <v>Wed</v>
      </c>
      <c r="B99" s="46">
        <f>Weather_Site!B102</f>
        <v>44552</v>
      </c>
      <c r="C99" s="47">
        <f>Weather_Site!C102</f>
        <v>0.91666666666666663</v>
      </c>
      <c r="D99" s="48">
        <f>Weather_Site!D102</f>
        <v>26.8</v>
      </c>
      <c r="E99" s="48">
        <f>Weather_Site!E102</f>
        <v>23.5</v>
      </c>
      <c r="F99" s="49">
        <f>Weather_Site!F102</f>
        <v>191</v>
      </c>
      <c r="G99" s="48">
        <f>Weather_Site!G102</f>
        <v>14</v>
      </c>
      <c r="H99" s="48">
        <f>IF(Weather_Site!M102&lt;180,Weather_Site!M102+180,Weather_Site!M102-180)</f>
        <v>11</v>
      </c>
      <c r="I99" s="172">
        <f t="shared" si="53"/>
        <v>0</v>
      </c>
      <c r="J99" s="214">
        <f t="shared" si="54"/>
        <v>3</v>
      </c>
      <c r="K99" s="48">
        <f t="shared" si="33"/>
        <v>4.666666666666667</v>
      </c>
      <c r="L99" s="172">
        <f t="shared" si="55"/>
        <v>24</v>
      </c>
      <c r="M99" s="51">
        <f>IF(Use_BOM_DF,Weather_Site!H102,IF(0.191*(Weather_Site!K102+104)*(Weather_Site!J102+1)^1.5/(3.52*(Weather_Site!J102+1)^1.5+Weather_Site!I102-1)&gt;10, 10,0.191*(Weather_Site!K102+104)*(Weather_Site!J102+1)^1.5/(3.52*(Weather_Site!J102+1)^1.5+Weather_Site!I102-1)))</f>
        <v>7.882539682539683</v>
      </c>
      <c r="N99" s="51">
        <f t="shared" si="34"/>
        <v>14.934095319875984</v>
      </c>
      <c r="O99" s="52">
        <f t="shared" si="35"/>
        <v>430.10194521242829</v>
      </c>
      <c r="P99" s="52">
        <f t="shared" si="36"/>
        <v>309.9534926384307</v>
      </c>
      <c r="Q99" s="51">
        <f t="shared" si="37"/>
        <v>9.3513252877615685</v>
      </c>
      <c r="R99" s="53">
        <f t="shared" si="38"/>
        <v>1092.8843709275827</v>
      </c>
      <c r="S99" s="53">
        <f t="shared" si="39"/>
        <v>4204.2378304884032</v>
      </c>
      <c r="T99" s="53">
        <f t="shared" si="40"/>
        <v>35187.657142857141</v>
      </c>
      <c r="U99" s="51">
        <f t="shared" si="41"/>
        <v>4.5767746453155427</v>
      </c>
      <c r="V99" s="52">
        <f t="shared" si="42"/>
        <v>4.666666666666667</v>
      </c>
      <c r="W99" s="52">
        <f t="shared" si="43"/>
        <v>11.666666666666668</v>
      </c>
      <c r="X99" s="51">
        <f t="shared" si="44"/>
        <v>10.762274049945511</v>
      </c>
      <c r="Y99" s="51">
        <f t="shared" si="45"/>
        <v>5.3525000000000009</v>
      </c>
      <c r="Z99" s="51" t="e">
        <f>IF(Use_BOM_DF,M99/10,MIN(0.972+(0.342*LN(Weather_Site!J102))-(0.245*LN(Weather_Site!I102)),1))</f>
        <v>#NUM!</v>
      </c>
      <c r="AA99" s="52" t="e">
        <f t="shared" si="46"/>
        <v>#NUM!</v>
      </c>
      <c r="AB99" s="52" t="e">
        <f t="shared" si="47"/>
        <v>#NUM!</v>
      </c>
      <c r="AC99" s="52" t="e">
        <f t="shared" si="48"/>
        <v>#NUM!</v>
      </c>
      <c r="AD99" s="51" t="e">
        <f t="shared" si="49"/>
        <v>#NUM!</v>
      </c>
      <c r="AE99" s="51" t="e">
        <f t="shared" si="50"/>
        <v>#NUM!</v>
      </c>
      <c r="AF99" s="53" t="e">
        <f t="shared" si="51"/>
        <v>#NUM!</v>
      </c>
      <c r="AG99" s="323">
        <f t="shared" si="52"/>
        <v>15.607928663353281</v>
      </c>
    </row>
    <row r="100" spans="1:33" x14ac:dyDescent="0.25">
      <c r="A100" s="23" t="str">
        <f>Weather_Site!A103</f>
        <v>Wed</v>
      </c>
      <c r="B100" s="24">
        <f>Weather_Site!B103</f>
        <v>44552</v>
      </c>
      <c r="C100" s="25">
        <f>Weather_Site!C103</f>
        <v>0.95833333333333337</v>
      </c>
      <c r="D100" s="27">
        <f>Weather_Site!D103</f>
        <v>24.9</v>
      </c>
      <c r="E100" s="27">
        <f>Weather_Site!E103</f>
        <v>26.8</v>
      </c>
      <c r="F100" s="28">
        <f>Weather_Site!F103</f>
        <v>185</v>
      </c>
      <c r="G100" s="27">
        <f>Weather_Site!G103</f>
        <v>12</v>
      </c>
      <c r="H100" s="27">
        <f>IF(Weather_Site!M103&lt;180,Weather_Site!M103+180,Weather_Site!M103-180)</f>
        <v>5</v>
      </c>
      <c r="I100" s="172">
        <f t="shared" si="53"/>
        <v>0</v>
      </c>
      <c r="J100" s="214">
        <f t="shared" si="54"/>
        <v>3</v>
      </c>
      <c r="K100" s="27">
        <f t="shared" si="33"/>
        <v>4</v>
      </c>
      <c r="L100" s="172">
        <f t="shared" si="55"/>
        <v>24</v>
      </c>
      <c r="M100" s="32">
        <f>IF(Use_BOM_DF,Weather_Site!H103,IF(0.191*(Weather_Site!K103+104)*(Weather_Site!J103+1)^1.5/(3.52*(Weather_Site!J103+1)^1.5+Weather_Site!I103-1)&gt;10, 10,0.191*(Weather_Site!K103+104)*(Weather_Site!J103+1)^1.5/(3.52*(Weather_Site!J103+1)^1.5+Weather_Site!I103-1)))</f>
        <v>7.882539682539683</v>
      </c>
      <c r="N100" s="32">
        <f t="shared" si="34"/>
        <v>11.926667691443388</v>
      </c>
      <c r="O100" s="33">
        <f t="shared" si="35"/>
        <v>343.48802951356953</v>
      </c>
      <c r="P100" s="33">
        <f t="shared" si="36"/>
        <v>259.39506900725291</v>
      </c>
      <c r="Q100" s="32">
        <f t="shared" si="37"/>
        <v>8.2253443836764042</v>
      </c>
      <c r="R100" s="42">
        <f t="shared" si="38"/>
        <v>800.30256369683809</v>
      </c>
      <c r="S100" s="42">
        <f t="shared" si="39"/>
        <v>3357.588553308261</v>
      </c>
      <c r="T100" s="42">
        <f t="shared" si="40"/>
        <v>35187.657142857141</v>
      </c>
      <c r="U100" s="32">
        <f t="shared" si="41"/>
        <v>4.9314042110649883</v>
      </c>
      <c r="V100" s="33">
        <f t="shared" si="42"/>
        <v>4</v>
      </c>
      <c r="W100" s="33">
        <f t="shared" si="43"/>
        <v>10</v>
      </c>
      <c r="X100" s="32">
        <f t="shared" si="44"/>
        <v>9.0067732294185046</v>
      </c>
      <c r="Y100" s="32">
        <f t="shared" si="45"/>
        <v>6.1144000000000016</v>
      </c>
      <c r="Z100" s="266" t="e">
        <f>IF(Use_BOM_DF,M100/10,MIN(0.972+(0.342*LN(Weather_Site!J103))-(0.245*LN(Weather_Site!I103)),1))</f>
        <v>#NUM!</v>
      </c>
      <c r="AA100" s="33" t="e">
        <f t="shared" si="46"/>
        <v>#NUM!</v>
      </c>
      <c r="AB100" s="33" t="e">
        <f t="shared" si="47"/>
        <v>#NUM!</v>
      </c>
      <c r="AC100" s="33" t="e">
        <f t="shared" si="48"/>
        <v>#NUM!</v>
      </c>
      <c r="AD100" s="32" t="e">
        <f t="shared" si="49"/>
        <v>#NUM!</v>
      </c>
      <c r="AE100" s="32" t="e">
        <f t="shared" si="50"/>
        <v>#NUM!</v>
      </c>
      <c r="AF100" s="42" t="e">
        <f t="shared" si="51"/>
        <v>#NUM!</v>
      </c>
      <c r="AG100" s="83">
        <f t="shared" si="52"/>
        <v>12.733771038083869</v>
      </c>
    </row>
    <row r="101" spans="1:33" x14ac:dyDescent="0.25">
      <c r="A101" s="23" t="str">
        <f>Weather_Site!A104</f>
        <v>Thu</v>
      </c>
      <c r="B101" s="24">
        <f>Weather_Site!B104</f>
        <v>44553</v>
      </c>
      <c r="C101" s="25">
        <f>Weather_Site!C104</f>
        <v>0</v>
      </c>
      <c r="D101" s="27">
        <f>Weather_Site!D104</f>
        <v>24.1</v>
      </c>
      <c r="E101" s="27">
        <f>Weather_Site!E104</f>
        <v>27.3</v>
      </c>
      <c r="F101" s="28">
        <f>Weather_Site!F104</f>
        <v>175</v>
      </c>
      <c r="G101" s="27">
        <f>Weather_Site!G104</f>
        <v>12</v>
      </c>
      <c r="H101" s="27">
        <f>IF(Weather_Site!M104&lt;180,Weather_Site!M104+180,Weather_Site!M104-180)</f>
        <v>355</v>
      </c>
      <c r="I101" s="172">
        <f t="shared" si="53"/>
        <v>0</v>
      </c>
      <c r="J101" s="214">
        <f t="shared" si="54"/>
        <v>3</v>
      </c>
      <c r="K101" s="27">
        <f t="shared" si="33"/>
        <v>4</v>
      </c>
      <c r="L101" s="172">
        <f t="shared" si="55"/>
        <v>24</v>
      </c>
      <c r="M101" s="32">
        <f>IF(Use_BOM_DF,Weather_Site!H104,IF(0.191*(Weather_Site!K104+104)*(Weather_Site!J104+1)^1.5/(3.52*(Weather_Site!J104+1)^1.5+Weather_Site!I104-1)&gt;10, 10,0.191*(Weather_Site!K104+104)*(Weather_Site!J104+1)^1.5/(3.52*(Weather_Site!J104+1)^1.5+Weather_Site!I104-1)))</f>
        <v>7.882539682539683</v>
      </c>
      <c r="N101" s="32">
        <f t="shared" si="34"/>
        <v>11.409962477838802</v>
      </c>
      <c r="O101" s="33">
        <f t="shared" si="35"/>
        <v>328.60691936175743</v>
      </c>
      <c r="P101" s="33">
        <f t="shared" si="36"/>
        <v>248.15716182253882</v>
      </c>
      <c r="Q101" s="32">
        <f t="shared" si="37"/>
        <v>8.0318899517028477</v>
      </c>
      <c r="R101" s="42">
        <f t="shared" si="38"/>
        <v>750.0341736040167</v>
      </c>
      <c r="S101" s="42">
        <f t="shared" si="39"/>
        <v>3212.1260020309978</v>
      </c>
      <c r="T101" s="42">
        <f t="shared" si="40"/>
        <v>35187.657142857141</v>
      </c>
      <c r="U101" s="32">
        <f t="shared" si="41"/>
        <v>5.0124830768071318</v>
      </c>
      <c r="V101" s="33">
        <f t="shared" si="42"/>
        <v>4</v>
      </c>
      <c r="W101" s="33">
        <f t="shared" si="43"/>
        <v>10</v>
      </c>
      <c r="X101" s="32">
        <f t="shared" si="44"/>
        <v>8.6165681188381544</v>
      </c>
      <c r="Y101" s="32">
        <f t="shared" si="45"/>
        <v>8.7804000000000002</v>
      </c>
      <c r="Z101" s="266" t="e">
        <f>IF(Use_BOM_DF,M101/10,MIN(0.972+(0.342*LN(Weather_Site!J104))-(0.245*LN(Weather_Site!I104)),1))</f>
        <v>#NUM!</v>
      </c>
      <c r="AA101" s="33" t="e">
        <f t="shared" si="46"/>
        <v>#NUM!</v>
      </c>
      <c r="AB101" s="33" t="e">
        <f t="shared" si="47"/>
        <v>#NUM!</v>
      </c>
      <c r="AC101" s="33" t="e">
        <f t="shared" si="48"/>
        <v>#NUM!</v>
      </c>
      <c r="AD101" s="32" t="e">
        <f t="shared" si="49"/>
        <v>#NUM!</v>
      </c>
      <c r="AE101" s="32" t="e">
        <f t="shared" si="50"/>
        <v>#NUM!</v>
      </c>
      <c r="AF101" s="42" t="e">
        <f t="shared" si="51"/>
        <v>#NUM!</v>
      </c>
      <c r="AG101" s="83">
        <f t="shared" si="52"/>
        <v>12.305072293554517</v>
      </c>
    </row>
    <row r="102" spans="1:33" x14ac:dyDescent="0.25">
      <c r="A102" s="23" t="str">
        <f>Weather_Site!A105</f>
        <v>Thu</v>
      </c>
      <c r="B102" s="24">
        <f>Weather_Site!B105</f>
        <v>44553</v>
      </c>
      <c r="C102" s="25">
        <f>Weather_Site!C105</f>
        <v>4.1666666666666664E-2</v>
      </c>
      <c r="D102" s="27">
        <f>Weather_Site!D105</f>
        <v>23</v>
      </c>
      <c r="E102" s="27">
        <f>Weather_Site!E105</f>
        <v>28.2</v>
      </c>
      <c r="F102" s="28">
        <f>Weather_Site!F105</f>
        <v>177</v>
      </c>
      <c r="G102" s="27">
        <f>Weather_Site!G105</f>
        <v>14</v>
      </c>
      <c r="H102" s="27">
        <f>IF(Weather_Site!M105&lt;180,Weather_Site!M105+180,Weather_Site!M105-180)</f>
        <v>357</v>
      </c>
      <c r="I102" s="172">
        <f t="shared" si="53"/>
        <v>0</v>
      </c>
      <c r="J102" s="214">
        <f t="shared" si="54"/>
        <v>3</v>
      </c>
      <c r="K102" s="27">
        <f t="shared" si="33"/>
        <v>4.666666666666667</v>
      </c>
      <c r="L102" s="172">
        <f t="shared" si="55"/>
        <v>24</v>
      </c>
      <c r="M102" s="32">
        <f>IF(Use_BOM_DF,Weather_Site!H105,IF(0.191*(Weather_Site!K105+104)*(Weather_Site!J105+1)^1.5/(3.52*(Weather_Site!J105+1)^1.5+Weather_Site!I105-1)&gt;10, 10,0.191*(Weather_Site!K105+104)*(Weather_Site!J105+1)^1.5/(3.52*(Weather_Site!J105+1)^1.5+Weather_Site!I105-1)))</f>
        <v>7.882539682539683</v>
      </c>
      <c r="N102" s="32">
        <f t="shared" si="34"/>
        <v>11.168048349901159</v>
      </c>
      <c r="O102" s="33">
        <f t="shared" si="35"/>
        <v>321.63979247715338</v>
      </c>
      <c r="P102" s="33">
        <f t="shared" si="36"/>
        <v>231.79010966935988</v>
      </c>
      <c r="Q102" s="32">
        <f t="shared" si="37"/>
        <v>7.941317302202993</v>
      </c>
      <c r="R102" s="42">
        <f t="shared" si="38"/>
        <v>726.49921898782395</v>
      </c>
      <c r="S102" s="42">
        <f t="shared" si="39"/>
        <v>3144.0224774036028</v>
      </c>
      <c r="T102" s="42">
        <f t="shared" si="40"/>
        <v>35187.657142857141</v>
      </c>
      <c r="U102" s="32">
        <f t="shared" si="41"/>
        <v>5.1488511397470536</v>
      </c>
      <c r="V102" s="33">
        <f t="shared" si="42"/>
        <v>4.666666666666667</v>
      </c>
      <c r="W102" s="33">
        <f t="shared" si="43"/>
        <v>11.666666666666668</v>
      </c>
      <c r="X102" s="32">
        <f t="shared" si="44"/>
        <v>8.0482676968527738</v>
      </c>
      <c r="Y102" s="32">
        <f t="shared" si="45"/>
        <v>9.1913999999999998</v>
      </c>
      <c r="Z102" s="266" t="e">
        <f>IF(Use_BOM_DF,M102/10,MIN(0.972+(0.342*LN(Weather_Site!J105))-(0.245*LN(Weather_Site!I105)),1))</f>
        <v>#NUM!</v>
      </c>
      <c r="AA102" s="33" t="e">
        <f t="shared" si="46"/>
        <v>#NUM!</v>
      </c>
      <c r="AB102" s="33" t="e">
        <f t="shared" si="47"/>
        <v>#NUM!</v>
      </c>
      <c r="AC102" s="33" t="e">
        <f t="shared" si="48"/>
        <v>#NUM!</v>
      </c>
      <c r="AD102" s="32" t="e">
        <f t="shared" si="49"/>
        <v>#NUM!</v>
      </c>
      <c r="AE102" s="32" t="e">
        <f t="shared" si="50"/>
        <v>#NUM!</v>
      </c>
      <c r="AF102" s="42" t="e">
        <f t="shared" si="51"/>
        <v>#NUM!</v>
      </c>
      <c r="AG102" s="83">
        <f t="shared" si="52"/>
        <v>12.18789141843007</v>
      </c>
    </row>
    <row r="103" spans="1:33" x14ac:dyDescent="0.25">
      <c r="A103" s="23" t="str">
        <f>Weather_Site!A106</f>
        <v>Thu</v>
      </c>
      <c r="B103" s="24">
        <f>Weather_Site!B106</f>
        <v>44553</v>
      </c>
      <c r="C103" s="25">
        <f>Weather_Site!C106</f>
        <v>8.3333333333333329E-2</v>
      </c>
      <c r="D103" s="27">
        <f>Weather_Site!D106</f>
        <v>21.8</v>
      </c>
      <c r="E103" s="27">
        <f>Weather_Site!E106</f>
        <v>30.1</v>
      </c>
      <c r="F103" s="28">
        <f>Weather_Site!F106</f>
        <v>180</v>
      </c>
      <c r="G103" s="27">
        <f>Weather_Site!G106</f>
        <v>14</v>
      </c>
      <c r="H103" s="27">
        <f>IF(Weather_Site!M106&lt;180,Weather_Site!M106+180,Weather_Site!M106-180)</f>
        <v>0</v>
      </c>
      <c r="I103" s="172">
        <f t="shared" si="53"/>
        <v>0</v>
      </c>
      <c r="J103" s="214">
        <f t="shared" si="54"/>
        <v>3</v>
      </c>
      <c r="K103" s="27">
        <f t="shared" si="33"/>
        <v>4.666666666666667</v>
      </c>
      <c r="L103" s="172">
        <f t="shared" si="55"/>
        <v>24</v>
      </c>
      <c r="M103" s="32">
        <f>IF(Use_BOM_DF,Weather_Site!H106,IF(0.191*(Weather_Site!K106+104)*(Weather_Site!J106+1)^1.5/(3.52*(Weather_Site!J106+1)^1.5+Weather_Site!I106-1)&gt;10, 10,0.191*(Weather_Site!K106+104)*(Weather_Site!J106+1)^1.5/(3.52*(Weather_Site!J106+1)^1.5+Weather_Site!I106-1)))</f>
        <v>7.882539682539683</v>
      </c>
      <c r="N103" s="32">
        <f t="shared" si="34"/>
        <v>10.04371308759843</v>
      </c>
      <c r="O103" s="33">
        <f t="shared" si="35"/>
        <v>289.25893692283478</v>
      </c>
      <c r="P103" s="33">
        <f t="shared" si="36"/>
        <v>208.45480652692808</v>
      </c>
      <c r="Q103" s="32">
        <f t="shared" si="37"/>
        <v>7.5203661799968522</v>
      </c>
      <c r="R103" s="42">
        <f t="shared" si="38"/>
        <v>617.11668892533589</v>
      </c>
      <c r="S103" s="42">
        <f t="shared" si="39"/>
        <v>2827.5002681450319</v>
      </c>
      <c r="T103" s="42">
        <f t="shared" si="40"/>
        <v>35187.657142857141</v>
      </c>
      <c r="U103" s="32">
        <f t="shared" si="41"/>
        <v>5.3999682068304713</v>
      </c>
      <c r="V103" s="33">
        <f t="shared" si="42"/>
        <v>4.666666666666667</v>
      </c>
      <c r="W103" s="33">
        <f t="shared" si="43"/>
        <v>11.666666666666668</v>
      </c>
      <c r="X103" s="32">
        <f t="shared" si="44"/>
        <v>7.238014115518336</v>
      </c>
      <c r="Y103" s="32">
        <f t="shared" si="45"/>
        <v>9.7426000000000013</v>
      </c>
      <c r="Z103" s="266" t="e">
        <f>IF(Use_BOM_DF,M103/10,MIN(0.972+(0.342*LN(Weather_Site!J106))-(0.245*LN(Weather_Site!I106)),1))</f>
        <v>#NUM!</v>
      </c>
      <c r="AA103" s="33" t="e">
        <f t="shared" si="46"/>
        <v>#NUM!</v>
      </c>
      <c r="AB103" s="33" t="e">
        <f t="shared" si="47"/>
        <v>#NUM!</v>
      </c>
      <c r="AC103" s="33" t="e">
        <f t="shared" si="48"/>
        <v>#NUM!</v>
      </c>
      <c r="AD103" s="32" t="e">
        <f t="shared" si="49"/>
        <v>#NUM!</v>
      </c>
      <c r="AE103" s="32" t="e">
        <f t="shared" si="50"/>
        <v>#NUM!</v>
      </c>
      <c r="AF103" s="42" t="e">
        <f t="shared" si="51"/>
        <v>#NUM!</v>
      </c>
      <c r="AG103" s="83">
        <f t="shared" si="52"/>
        <v>11.028050749326303</v>
      </c>
    </row>
    <row r="104" spans="1:33" x14ac:dyDescent="0.25">
      <c r="A104" s="23" t="str">
        <f>Weather_Site!A107</f>
        <v>Thu</v>
      </c>
      <c r="B104" s="24">
        <f>Weather_Site!B107</f>
        <v>44553</v>
      </c>
      <c r="C104" s="25">
        <f>Weather_Site!C107</f>
        <v>0.125</v>
      </c>
      <c r="D104" s="27">
        <f>Weather_Site!D107</f>
        <v>20.399999999999999</v>
      </c>
      <c r="E104" s="27">
        <f>Weather_Site!E107</f>
        <v>36.200000000000003</v>
      </c>
      <c r="F104" s="28">
        <f>Weather_Site!F107</f>
        <v>173</v>
      </c>
      <c r="G104" s="27">
        <f>Weather_Site!G107</f>
        <v>14</v>
      </c>
      <c r="H104" s="27">
        <f>IF(Weather_Site!M107&lt;180,Weather_Site!M107+180,Weather_Site!M107-180)</f>
        <v>353</v>
      </c>
      <c r="I104" s="172">
        <f t="shared" si="53"/>
        <v>0</v>
      </c>
      <c r="J104" s="214">
        <f t="shared" si="54"/>
        <v>3</v>
      </c>
      <c r="K104" s="27">
        <f t="shared" si="33"/>
        <v>4.666666666666667</v>
      </c>
      <c r="L104" s="172">
        <f t="shared" si="55"/>
        <v>24</v>
      </c>
      <c r="M104" s="32">
        <f>IF(Use_BOM_DF,Weather_Site!H107,IF(0.191*(Weather_Site!K107+104)*(Weather_Site!J107+1)^1.5/(3.52*(Weather_Site!J107+1)^1.5+Weather_Site!I107-1)&gt;10, 10,0.191*(Weather_Site!K107+104)*(Weather_Site!J107+1)^1.5/(3.52*(Weather_Site!J107+1)^1.5+Weather_Site!I107-1)))</f>
        <v>7.882539682539683</v>
      </c>
      <c r="N104" s="32">
        <f t="shared" si="34"/>
        <v>7.7615097861031064</v>
      </c>
      <c r="O104" s="33">
        <f t="shared" si="35"/>
        <v>223.53148183976944</v>
      </c>
      <c r="P104" s="33">
        <f t="shared" si="36"/>
        <v>161.0882356662228</v>
      </c>
      <c r="Q104" s="32">
        <f t="shared" si="37"/>
        <v>6.665909263917003</v>
      </c>
      <c r="R104" s="42">
        <f t="shared" si="38"/>
        <v>395.08934565474129</v>
      </c>
      <c r="S104" s="42">
        <f t="shared" si="39"/>
        <v>2185.0157217766846</v>
      </c>
      <c r="T104" s="42">
        <f t="shared" si="40"/>
        <v>35187.657142857141</v>
      </c>
      <c r="U104" s="32">
        <f t="shared" si="41"/>
        <v>6.1721697226311294</v>
      </c>
      <c r="V104" s="33">
        <f t="shared" si="42"/>
        <v>4.666666666666667</v>
      </c>
      <c r="W104" s="33">
        <f t="shared" si="43"/>
        <v>11.666666666666668</v>
      </c>
      <c r="X104" s="32">
        <f t="shared" si="44"/>
        <v>5.5933415161882918</v>
      </c>
      <c r="Y104" s="32">
        <f t="shared" si="45"/>
        <v>10.820600000000002</v>
      </c>
      <c r="Z104" s="266" t="e">
        <f>IF(Use_BOM_DF,M104/10,MIN(0.972+(0.342*LN(Weather_Site!J107))-(0.245*LN(Weather_Site!I107)),1))</f>
        <v>#NUM!</v>
      </c>
      <c r="AA104" s="33" t="e">
        <f t="shared" si="46"/>
        <v>#NUM!</v>
      </c>
      <c r="AB104" s="33" t="e">
        <f t="shared" si="47"/>
        <v>#NUM!</v>
      </c>
      <c r="AC104" s="33" t="e">
        <f t="shared" si="48"/>
        <v>#NUM!</v>
      </c>
      <c r="AD104" s="32" t="e">
        <f t="shared" si="49"/>
        <v>#NUM!</v>
      </c>
      <c r="AE104" s="32" t="e">
        <f t="shared" si="50"/>
        <v>#NUM!</v>
      </c>
      <c r="AF104" s="42" t="e">
        <f t="shared" si="51"/>
        <v>#NUM!</v>
      </c>
      <c r="AG104" s="83">
        <f t="shared" si="52"/>
        <v>8.3291517837405085</v>
      </c>
    </row>
    <row r="105" spans="1:33" x14ac:dyDescent="0.25">
      <c r="A105" s="45" t="str">
        <f>Weather_Site!A108</f>
        <v>Thu</v>
      </c>
      <c r="B105" s="46">
        <f>Weather_Site!B108</f>
        <v>44553</v>
      </c>
      <c r="C105" s="47">
        <f>Weather_Site!C108</f>
        <v>0.16666666666666666</v>
      </c>
      <c r="D105" s="48">
        <f>Weather_Site!D108</f>
        <v>19.3</v>
      </c>
      <c r="E105" s="48">
        <f>Weather_Site!E108</f>
        <v>43.6</v>
      </c>
      <c r="F105" s="49">
        <f>Weather_Site!F108</f>
        <v>171</v>
      </c>
      <c r="G105" s="48">
        <f>Weather_Site!G108</f>
        <v>14</v>
      </c>
      <c r="H105" s="48">
        <f>IF(Weather_Site!M108&lt;180,Weather_Site!M108+180,Weather_Site!M108-180)</f>
        <v>351</v>
      </c>
      <c r="I105" s="172">
        <f t="shared" si="53"/>
        <v>0</v>
      </c>
      <c r="J105" s="214">
        <f t="shared" si="54"/>
        <v>3</v>
      </c>
      <c r="K105" s="48">
        <f t="shared" si="33"/>
        <v>4.666666666666667</v>
      </c>
      <c r="L105" s="172">
        <f t="shared" si="55"/>
        <v>24</v>
      </c>
      <c r="M105" s="51">
        <f>IF(Use_BOM_DF,Weather_Site!H108,IF(0.191*(Weather_Site!K108+104)*(Weather_Site!J108+1)^1.5/(3.52*(Weather_Site!J108+1)^1.5+Weather_Site!I108-1)&gt;10, 10,0.191*(Weather_Site!K108+104)*(Weather_Site!J108+1)^1.5/(3.52*(Weather_Site!J108+1)^1.5+Weather_Site!I108-1)))</f>
        <v>7.882539682539683</v>
      </c>
      <c r="N105" s="51">
        <f t="shared" si="34"/>
        <v>5.7932698628854338</v>
      </c>
      <c r="O105" s="52">
        <f t="shared" si="35"/>
        <v>166.84617205110047</v>
      </c>
      <c r="P105" s="52">
        <f t="shared" si="36"/>
        <v>120.23789786639811</v>
      </c>
      <c r="Q105" s="51">
        <f t="shared" si="37"/>
        <v>5.9290002366643062</v>
      </c>
      <c r="R105" s="53">
        <f t="shared" si="38"/>
        <v>203.60636918861741</v>
      </c>
      <c r="S105" s="53">
        <f t="shared" si="39"/>
        <v>1630.9179630958431</v>
      </c>
      <c r="T105" s="53">
        <f t="shared" si="40"/>
        <v>35187.657142857141</v>
      </c>
      <c r="U105" s="51">
        <f t="shared" si="41"/>
        <v>7.2510319663900447</v>
      </c>
      <c r="V105" s="52">
        <f t="shared" si="42"/>
        <v>4.666666666666667</v>
      </c>
      <c r="W105" s="52">
        <f t="shared" si="43"/>
        <v>11.666666666666668</v>
      </c>
      <c r="X105" s="51">
        <f t="shared" si="44"/>
        <v>4.1749270092499353</v>
      </c>
      <c r="Y105" s="51">
        <f t="shared" si="45"/>
        <v>11.959600000000002</v>
      </c>
      <c r="Z105" s="51" t="e">
        <f>IF(Use_BOM_DF,M105/10,MIN(0.972+(0.342*LN(Weather_Site!J108))-(0.245*LN(Weather_Site!I108)),1))</f>
        <v>#NUM!</v>
      </c>
      <c r="AA105" s="52" t="e">
        <f t="shared" si="46"/>
        <v>#NUM!</v>
      </c>
      <c r="AB105" s="52" t="e">
        <f t="shared" si="47"/>
        <v>#NUM!</v>
      </c>
      <c r="AC105" s="52" t="e">
        <f t="shared" si="48"/>
        <v>#NUM!</v>
      </c>
      <c r="AD105" s="51" t="e">
        <f t="shared" si="49"/>
        <v>#NUM!</v>
      </c>
      <c r="AE105" s="51" t="e">
        <f t="shared" si="50"/>
        <v>#NUM!</v>
      </c>
      <c r="AF105" s="53" t="e">
        <f t="shared" si="51"/>
        <v>#NUM!</v>
      </c>
      <c r="AG105" s="323">
        <f t="shared" si="52"/>
        <v>5.9385533248819478</v>
      </c>
    </row>
    <row r="106" spans="1:33" x14ac:dyDescent="0.25">
      <c r="A106" s="45" t="str">
        <f>Weather_Site!A109</f>
        <v>Thu</v>
      </c>
      <c r="B106" s="46">
        <f>Weather_Site!B109</f>
        <v>44553</v>
      </c>
      <c r="C106" s="47">
        <f>Weather_Site!C109</f>
        <v>0.20833333333333334</v>
      </c>
      <c r="D106" s="48">
        <f>Weather_Site!D109</f>
        <v>18.5</v>
      </c>
      <c r="E106" s="48">
        <f>Weather_Site!E109</f>
        <v>49.4</v>
      </c>
      <c r="F106" s="49">
        <f>Weather_Site!F109</f>
        <v>168</v>
      </c>
      <c r="G106" s="48">
        <f>Weather_Site!G109</f>
        <v>16</v>
      </c>
      <c r="H106" s="48">
        <f>IF(Weather_Site!M109&lt;180,Weather_Site!M109+180,Weather_Site!M109-180)</f>
        <v>348</v>
      </c>
      <c r="I106" s="172">
        <f t="shared" si="53"/>
        <v>0</v>
      </c>
      <c r="J106" s="214">
        <f t="shared" si="54"/>
        <v>3</v>
      </c>
      <c r="K106" s="48">
        <f t="shared" si="33"/>
        <v>5.333333333333333</v>
      </c>
      <c r="L106" s="172">
        <f t="shared" si="55"/>
        <v>24</v>
      </c>
      <c r="M106" s="51">
        <f>IF(Use_BOM_DF,Weather_Site!H109,IF(0.191*(Weather_Site!K109+104)*(Weather_Site!J109+1)^1.5/(3.52*(Weather_Site!J109+1)^1.5+Weather_Site!I109-1)&gt;10, 10,0.191*(Weather_Site!K109+104)*(Weather_Site!J109+1)^1.5/(3.52*(Weather_Site!J109+1)^1.5+Weather_Site!I109-1)))</f>
        <v>7.882539682539683</v>
      </c>
      <c r="N106" s="51">
        <f t="shared" si="34"/>
        <v>4.83730078124157</v>
      </c>
      <c r="O106" s="52">
        <f t="shared" si="35"/>
        <v>139.31426249975721</v>
      </c>
      <c r="P106" s="52">
        <f t="shared" si="36"/>
        <v>95.806665756456866</v>
      </c>
      <c r="Q106" s="51">
        <f t="shared" si="37"/>
        <v>5.5710854124968439</v>
      </c>
      <c r="R106" s="53">
        <f t="shared" si="38"/>
        <v>110.60357872417987</v>
      </c>
      <c r="S106" s="53">
        <f t="shared" si="39"/>
        <v>1361.7941031138268</v>
      </c>
      <c r="T106" s="53">
        <f t="shared" si="40"/>
        <v>35187.657142857141</v>
      </c>
      <c r="U106" s="51">
        <f t="shared" si="41"/>
        <v>8.2495810820903941</v>
      </c>
      <c r="V106" s="52">
        <f t="shared" si="42"/>
        <v>5.333333333333333</v>
      </c>
      <c r="W106" s="52">
        <f t="shared" si="43"/>
        <v>13.333333333333334</v>
      </c>
      <c r="X106" s="51">
        <f t="shared" si="44"/>
        <v>3.3266203387658639</v>
      </c>
      <c r="Y106" s="51">
        <f t="shared" si="45"/>
        <v>12.834800000000001</v>
      </c>
      <c r="Z106" s="51" t="e">
        <f>IF(Use_BOM_DF,M106/10,MIN(0.972+(0.342*LN(Weather_Site!J109))-(0.245*LN(Weather_Site!I109)),1))</f>
        <v>#NUM!</v>
      </c>
      <c r="AA106" s="52" t="e">
        <f t="shared" si="46"/>
        <v>#NUM!</v>
      </c>
      <c r="AB106" s="52" t="e">
        <f t="shared" si="47"/>
        <v>#NUM!</v>
      </c>
      <c r="AC106" s="52" t="e">
        <f t="shared" si="48"/>
        <v>#NUM!</v>
      </c>
      <c r="AD106" s="51" t="e">
        <f t="shared" si="49"/>
        <v>#NUM!</v>
      </c>
      <c r="AE106" s="51" t="e">
        <f t="shared" si="50"/>
        <v>#NUM!</v>
      </c>
      <c r="AF106" s="53" t="e">
        <f t="shared" si="51"/>
        <v>#NUM!</v>
      </c>
      <c r="AG106" s="323">
        <f t="shared" si="52"/>
        <v>4.7461152868596272</v>
      </c>
    </row>
    <row r="107" spans="1:33" x14ac:dyDescent="0.25">
      <c r="A107" s="45" t="str">
        <f>Weather_Site!A110</f>
        <v>Thu</v>
      </c>
      <c r="B107" s="46">
        <f>Weather_Site!B110</f>
        <v>44553</v>
      </c>
      <c r="C107" s="47">
        <f>Weather_Site!C110</f>
        <v>0.25</v>
      </c>
      <c r="D107" s="48">
        <f>Weather_Site!D110</f>
        <v>17.3</v>
      </c>
      <c r="E107" s="48">
        <f>Weather_Site!E110</f>
        <v>51.8</v>
      </c>
      <c r="F107" s="49">
        <f>Weather_Site!F110</f>
        <v>174</v>
      </c>
      <c r="G107" s="48">
        <f>Weather_Site!G110</f>
        <v>17</v>
      </c>
      <c r="H107" s="48">
        <f>IF(Weather_Site!M110&lt;180,Weather_Site!M110+180,Weather_Site!M110-180)</f>
        <v>354</v>
      </c>
      <c r="I107" s="172">
        <f t="shared" si="53"/>
        <v>0</v>
      </c>
      <c r="J107" s="214">
        <f t="shared" si="54"/>
        <v>3</v>
      </c>
      <c r="K107" s="48">
        <f t="shared" si="33"/>
        <v>5.666666666666667</v>
      </c>
      <c r="L107" s="172">
        <f t="shared" si="55"/>
        <v>24</v>
      </c>
      <c r="M107" s="51">
        <f>IF(Use_BOM_DF,Weather_Site!H110,IF(0.191*(Weather_Site!K110+104)*(Weather_Site!J110+1)^1.5/(3.52*(Weather_Site!J110+1)^1.5+Weather_Site!I110-1)&gt;10, 10,0.191*(Weather_Site!K110+104)*(Weather_Site!J110+1)^1.5/(3.52*(Weather_Site!J110+1)^1.5+Weather_Site!I110-1)))</f>
        <v>7.882539682539683</v>
      </c>
      <c r="N107" s="51">
        <f t="shared" si="34"/>
        <v>4.3771458314935421</v>
      </c>
      <c r="O107" s="52">
        <f t="shared" si="35"/>
        <v>126.06179994701399</v>
      </c>
      <c r="P107" s="52">
        <f t="shared" si="36"/>
        <v>84.687860041498055</v>
      </c>
      <c r="Q107" s="51">
        <f t="shared" si="37"/>
        <v>5.3988033993111815</v>
      </c>
      <c r="R107" s="53">
        <f t="shared" si="38"/>
        <v>65.836760221013307</v>
      </c>
      <c r="S107" s="53">
        <f t="shared" si="39"/>
        <v>1232.2515492342916</v>
      </c>
      <c r="T107" s="53">
        <f t="shared" si="40"/>
        <v>35187.657142857141</v>
      </c>
      <c r="U107" s="51">
        <f t="shared" si="41"/>
        <v>8.8408229970413341</v>
      </c>
      <c r="V107" s="52">
        <f t="shared" si="42"/>
        <v>5.666666666666667</v>
      </c>
      <c r="W107" s="52">
        <f t="shared" si="43"/>
        <v>14.166666666666668</v>
      </c>
      <c r="X107" s="51">
        <f t="shared" si="44"/>
        <v>2.9405506958853498</v>
      </c>
      <c r="Y107" s="51">
        <f t="shared" si="45"/>
        <v>13.442</v>
      </c>
      <c r="Z107" s="51" t="e">
        <f>IF(Use_BOM_DF,M107/10,MIN(0.972+(0.342*LN(Weather_Site!J110))-(0.245*LN(Weather_Site!I110)),1))</f>
        <v>#NUM!</v>
      </c>
      <c r="AA107" s="52" t="e">
        <f t="shared" si="46"/>
        <v>#NUM!</v>
      </c>
      <c r="AB107" s="52" t="e">
        <f t="shared" si="47"/>
        <v>#NUM!</v>
      </c>
      <c r="AC107" s="52" t="e">
        <f t="shared" si="48"/>
        <v>#NUM!</v>
      </c>
      <c r="AD107" s="51" t="e">
        <f t="shared" si="49"/>
        <v>#NUM!</v>
      </c>
      <c r="AE107" s="51" t="e">
        <f t="shared" si="50"/>
        <v>#NUM!</v>
      </c>
      <c r="AF107" s="53" t="e">
        <f t="shared" si="51"/>
        <v>#NUM!</v>
      </c>
      <c r="AG107" s="323">
        <f t="shared" si="52"/>
        <v>4.2011974561143806</v>
      </c>
    </row>
    <row r="108" spans="1:33" x14ac:dyDescent="0.25">
      <c r="A108" s="45" t="str">
        <f>Weather_Site!A111</f>
        <v>Thu</v>
      </c>
      <c r="B108" s="46">
        <f>Weather_Site!B111</f>
        <v>44553</v>
      </c>
      <c r="C108" s="47">
        <f>Weather_Site!C111</f>
        <v>0.29166666666666669</v>
      </c>
      <c r="D108" s="48">
        <f>Weather_Site!D111</f>
        <v>17.7</v>
      </c>
      <c r="E108" s="48">
        <f>Weather_Site!E111</f>
        <v>48.5</v>
      </c>
      <c r="F108" s="49">
        <f>Weather_Site!F111</f>
        <v>156</v>
      </c>
      <c r="G108" s="48">
        <f>Weather_Site!G111</f>
        <v>19</v>
      </c>
      <c r="H108" s="48">
        <f>IF(Weather_Site!M111&lt;180,Weather_Site!M111+180,Weather_Site!M111-180)</f>
        <v>336</v>
      </c>
      <c r="I108" s="172">
        <f t="shared" si="53"/>
        <v>0</v>
      </c>
      <c r="J108" s="214">
        <f t="shared" si="54"/>
        <v>3</v>
      </c>
      <c r="K108" s="48">
        <f t="shared" si="33"/>
        <v>6.333333333333333</v>
      </c>
      <c r="L108" s="172">
        <f t="shared" si="55"/>
        <v>24</v>
      </c>
      <c r="M108" s="51">
        <f>IF(Use_BOM_DF,Weather_Site!H111,IF(0.191*(Weather_Site!K111+104)*(Weather_Site!J111+1)^1.5/(3.52*(Weather_Site!J111+1)^1.5+Weather_Site!I111-1)&gt;10, 10,0.191*(Weather_Site!K111+104)*(Weather_Site!J111+1)^1.5/(3.52*(Weather_Site!J111+1)^1.5+Weather_Site!I111-1)))</f>
        <v>7.882539682539683</v>
      </c>
      <c r="N108" s="51">
        <f t="shared" si="34"/>
        <v>5.2099323724003392</v>
      </c>
      <c r="O108" s="52">
        <f t="shared" si="35"/>
        <v>150.04605232512975</v>
      </c>
      <c r="P108" s="52">
        <f t="shared" si="36"/>
        <v>96.191621807177768</v>
      </c>
      <c r="Q108" s="51">
        <f t="shared" si="37"/>
        <v>5.7105986802266866</v>
      </c>
      <c r="R108" s="53">
        <f t="shared" si="38"/>
        <v>146.85556475428828</v>
      </c>
      <c r="S108" s="53">
        <f t="shared" si="39"/>
        <v>1466.6971319768966</v>
      </c>
      <c r="T108" s="53">
        <f t="shared" si="40"/>
        <v>35187.657142857141</v>
      </c>
      <c r="U108" s="51">
        <f t="shared" si="41"/>
        <v>8.2055200582984078</v>
      </c>
      <c r="V108" s="52">
        <f t="shared" si="42"/>
        <v>6.333333333333333</v>
      </c>
      <c r="W108" s="52">
        <f t="shared" si="43"/>
        <v>15.833333333333334</v>
      </c>
      <c r="X108" s="51">
        <f t="shared" si="44"/>
        <v>3.3399868683047842</v>
      </c>
      <c r="Y108" s="51">
        <f t="shared" si="45"/>
        <v>12.959600000000002</v>
      </c>
      <c r="Z108" s="51" t="e">
        <f>IF(Use_BOM_DF,M108/10,MIN(0.972+(0.342*LN(Weather_Site!J111))-(0.245*LN(Weather_Site!I111)),1))</f>
        <v>#NUM!</v>
      </c>
      <c r="AA108" s="52" t="e">
        <f t="shared" si="46"/>
        <v>#NUM!</v>
      </c>
      <c r="AB108" s="52" t="e">
        <f t="shared" si="47"/>
        <v>#NUM!</v>
      </c>
      <c r="AC108" s="52" t="e">
        <f t="shared" si="48"/>
        <v>#NUM!</v>
      </c>
      <c r="AD108" s="51" t="e">
        <f t="shared" si="49"/>
        <v>#NUM!</v>
      </c>
      <c r="AE108" s="51" t="e">
        <f t="shared" si="50"/>
        <v>#NUM!</v>
      </c>
      <c r="AF108" s="53" t="e">
        <f t="shared" si="51"/>
        <v>#NUM!</v>
      </c>
      <c r="AG108" s="323">
        <f t="shared" si="52"/>
        <v>5.1488459986904447</v>
      </c>
    </row>
    <row r="109" spans="1:33" x14ac:dyDescent="0.25">
      <c r="A109" s="45" t="str">
        <f>Weather_Site!A112</f>
        <v>Thu</v>
      </c>
      <c r="B109" s="46">
        <f>Weather_Site!B112</f>
        <v>44553</v>
      </c>
      <c r="C109" s="47">
        <f>Weather_Site!C112</f>
        <v>0.33333333333333331</v>
      </c>
      <c r="D109" s="48">
        <f>Weather_Site!D112</f>
        <v>20</v>
      </c>
      <c r="E109" s="48">
        <f>Weather_Site!E112</f>
        <v>41.5</v>
      </c>
      <c r="F109" s="49">
        <f>Weather_Site!F112</f>
        <v>157</v>
      </c>
      <c r="G109" s="48">
        <f>Weather_Site!G112</f>
        <v>24</v>
      </c>
      <c r="H109" s="48">
        <f>IF(Weather_Site!M112&lt;180,Weather_Site!M112+180,Weather_Site!M112-180)</f>
        <v>337</v>
      </c>
      <c r="I109" s="172">
        <f t="shared" si="53"/>
        <v>0</v>
      </c>
      <c r="J109" s="214">
        <f t="shared" si="54"/>
        <v>3</v>
      </c>
      <c r="K109" s="48">
        <f t="shared" si="33"/>
        <v>8</v>
      </c>
      <c r="L109" s="172">
        <f t="shared" si="55"/>
        <v>24</v>
      </c>
      <c r="M109" s="51">
        <f>IF(Use_BOM_DF,Weather_Site!H112,IF(0.191*(Weather_Site!K112+104)*(Weather_Site!J112+1)^1.5/(3.52*(Weather_Site!J112+1)^1.5+Weather_Site!I112-1)&gt;10, 10,0.191*(Weather_Site!K112+104)*(Weather_Site!J112+1)^1.5/(3.52*(Weather_Site!J112+1)^1.5+Weather_Site!I112-1)))</f>
        <v>7.882539682539683</v>
      </c>
      <c r="N109" s="51">
        <f t="shared" si="34"/>
        <v>8.0591401955288706</v>
      </c>
      <c r="O109" s="52">
        <f t="shared" si="35"/>
        <v>232.10323763123145</v>
      </c>
      <c r="P109" s="52">
        <f t="shared" si="36"/>
        <v>132.36751553793513</v>
      </c>
      <c r="Q109" s="51">
        <f t="shared" si="37"/>
        <v>6.7773420892060088</v>
      </c>
      <c r="R109" s="53">
        <f t="shared" si="38"/>
        <v>424.04473671829987</v>
      </c>
      <c r="S109" s="53">
        <f t="shared" si="39"/>
        <v>2268.8044615703948</v>
      </c>
      <c r="T109" s="53">
        <f t="shared" si="40"/>
        <v>35187.657142857141</v>
      </c>
      <c r="U109" s="51">
        <f t="shared" si="41"/>
        <v>6.8863466583153379</v>
      </c>
      <c r="V109" s="52">
        <f t="shared" si="42"/>
        <v>8</v>
      </c>
      <c r="W109" s="52">
        <f t="shared" si="43"/>
        <v>20</v>
      </c>
      <c r="X109" s="51">
        <f t="shared" si="44"/>
        <v>4.5960942895116368</v>
      </c>
      <c r="Y109" s="51">
        <f t="shared" si="45"/>
        <v>11.527000000000001</v>
      </c>
      <c r="Z109" s="51" t="e">
        <f>IF(Use_BOM_DF,M109/10,MIN(0.972+(0.342*LN(Weather_Site!J112))-(0.245*LN(Weather_Site!I112)),1))</f>
        <v>#NUM!</v>
      </c>
      <c r="AA109" s="52" t="e">
        <f t="shared" si="46"/>
        <v>#NUM!</v>
      </c>
      <c r="AB109" s="52" t="e">
        <f t="shared" si="47"/>
        <v>#NUM!</v>
      </c>
      <c r="AC109" s="52" t="e">
        <f t="shared" si="48"/>
        <v>#NUM!</v>
      </c>
      <c r="AD109" s="51" t="e">
        <f t="shared" si="49"/>
        <v>#NUM!</v>
      </c>
      <c r="AE109" s="51" t="e">
        <f t="shared" si="50"/>
        <v>#NUM!</v>
      </c>
      <c r="AF109" s="53" t="e">
        <f t="shared" si="51"/>
        <v>#NUM!</v>
      </c>
      <c r="AG109" s="323">
        <f t="shared" si="52"/>
        <v>8.3631240760013181</v>
      </c>
    </row>
    <row r="110" spans="1:33" x14ac:dyDescent="0.25">
      <c r="A110" s="23" t="str">
        <f>Weather_Site!A113</f>
        <v>Thu</v>
      </c>
      <c r="B110" s="24">
        <f>Weather_Site!B113</f>
        <v>44553</v>
      </c>
      <c r="C110" s="25">
        <f>Weather_Site!C113</f>
        <v>0.375</v>
      </c>
      <c r="D110" s="27">
        <f>Weather_Site!D113</f>
        <v>22.1</v>
      </c>
      <c r="E110" s="27">
        <f>Weather_Site!E113</f>
        <v>37.5</v>
      </c>
      <c r="F110" s="28">
        <f>Weather_Site!F113</f>
        <v>161</v>
      </c>
      <c r="G110" s="27">
        <f>Weather_Site!G113</f>
        <v>17</v>
      </c>
      <c r="H110" s="27">
        <f>IF(Weather_Site!M113&lt;180,Weather_Site!M113+180,Weather_Site!M113-180)</f>
        <v>341</v>
      </c>
      <c r="I110" s="172">
        <f t="shared" si="53"/>
        <v>0</v>
      </c>
      <c r="J110" s="214">
        <f t="shared" si="54"/>
        <v>3</v>
      </c>
      <c r="K110" s="27">
        <f t="shared" si="33"/>
        <v>5.666666666666667</v>
      </c>
      <c r="L110" s="172">
        <f t="shared" si="55"/>
        <v>24</v>
      </c>
      <c r="M110" s="32">
        <f>IF(Use_BOM_DF,Weather_Site!H113,IF(0.191*(Weather_Site!K113+104)*(Weather_Site!J113+1)^1.5/(3.52*(Weather_Site!J113+1)^1.5+Weather_Site!I113-1)&gt;10, 10,0.191*(Weather_Site!K113+104)*(Weather_Site!J113+1)^1.5/(3.52*(Weather_Site!J113+1)^1.5+Weather_Site!I113-1)))</f>
        <v>7.882539682539683</v>
      </c>
      <c r="N110" s="32">
        <f t="shared" si="34"/>
        <v>8.4316027233398145</v>
      </c>
      <c r="O110" s="33">
        <f t="shared" si="35"/>
        <v>242.83015843218664</v>
      </c>
      <c r="P110" s="33">
        <f t="shared" si="36"/>
        <v>163.132419811581</v>
      </c>
      <c r="Q110" s="32">
        <f t="shared" si="37"/>
        <v>6.9167920596184267</v>
      </c>
      <c r="R110" s="42">
        <f t="shared" si="38"/>
        <v>460.28027518392656</v>
      </c>
      <c r="S110" s="42">
        <f t="shared" si="39"/>
        <v>2373.6598958180925</v>
      </c>
      <c r="T110" s="42">
        <f t="shared" si="40"/>
        <v>35187.657142857141</v>
      </c>
      <c r="U110" s="32">
        <f t="shared" si="41"/>
        <v>6.1991411522736879</v>
      </c>
      <c r="V110" s="33">
        <f t="shared" si="42"/>
        <v>5.666666666666667</v>
      </c>
      <c r="W110" s="33">
        <f t="shared" si="43"/>
        <v>14.166666666666668</v>
      </c>
      <c r="X110" s="32">
        <f t="shared" si="44"/>
        <v>5.6643201323465631</v>
      </c>
      <c r="Y110" s="32">
        <f t="shared" si="45"/>
        <v>10.486800000000001</v>
      </c>
      <c r="Z110" s="266" t="e">
        <f>IF(Use_BOM_DF,M110/10,MIN(0.972+(0.342*LN(Weather_Site!J113))-(0.245*LN(Weather_Site!I113)),1))</f>
        <v>#NUM!</v>
      </c>
      <c r="AA110" s="33" t="e">
        <f t="shared" si="46"/>
        <v>#NUM!</v>
      </c>
      <c r="AB110" s="33" t="e">
        <f t="shared" si="47"/>
        <v>#NUM!</v>
      </c>
      <c r="AC110" s="33" t="e">
        <f t="shared" si="48"/>
        <v>#NUM!</v>
      </c>
      <c r="AD110" s="32" t="e">
        <f t="shared" si="49"/>
        <v>#NUM!</v>
      </c>
      <c r="AE110" s="32" t="e">
        <f t="shared" si="50"/>
        <v>#NUM!</v>
      </c>
      <c r="AF110" s="42" t="e">
        <f t="shared" si="51"/>
        <v>#NUM!</v>
      </c>
      <c r="AG110" s="83">
        <f t="shared" si="52"/>
        <v>8.853429874166526</v>
      </c>
    </row>
    <row r="111" spans="1:33" x14ac:dyDescent="0.25">
      <c r="A111" s="23" t="str">
        <f>Weather_Site!A114</f>
        <v>Thu</v>
      </c>
      <c r="B111" s="24">
        <f>Weather_Site!B114</f>
        <v>44553</v>
      </c>
      <c r="C111" s="25">
        <f>Weather_Site!C114</f>
        <v>0.41666666666666669</v>
      </c>
      <c r="D111" s="27">
        <f>Weather_Site!D114</f>
        <v>24.6</v>
      </c>
      <c r="E111" s="27">
        <f>Weather_Site!E114</f>
        <v>31.3</v>
      </c>
      <c r="F111" s="28">
        <f>Weather_Site!F114</f>
        <v>163</v>
      </c>
      <c r="G111" s="27">
        <f>Weather_Site!G114</f>
        <v>22</v>
      </c>
      <c r="H111" s="27">
        <f>IF(Weather_Site!M114&lt;180,Weather_Site!M114+180,Weather_Site!M114-180)</f>
        <v>343</v>
      </c>
      <c r="I111" s="172">
        <f t="shared" si="53"/>
        <v>0</v>
      </c>
      <c r="J111" s="214">
        <f t="shared" si="54"/>
        <v>3</v>
      </c>
      <c r="K111" s="27">
        <f t="shared" si="33"/>
        <v>7.333333333333333</v>
      </c>
      <c r="L111" s="172">
        <f t="shared" si="55"/>
        <v>24</v>
      </c>
      <c r="M111" s="32">
        <f>IF(Use_BOM_DF,Weather_Site!H114,IF(0.191*(Weather_Site!K114+104)*(Weather_Site!J114+1)^1.5/(3.52*(Weather_Site!J114+1)^1.5+Weather_Site!I114-1)&gt;10, 10,0.191*(Weather_Site!K114+104)*(Weather_Site!J114+1)^1.5/(3.52*(Weather_Site!J114+1)^1.5+Weather_Site!I114-1)))</f>
        <v>7.882539682539683</v>
      </c>
      <c r="N111" s="32">
        <f t="shared" si="34"/>
        <v>12.773680911971764</v>
      </c>
      <c r="O111" s="33">
        <f t="shared" si="35"/>
        <v>367.8820102647868</v>
      </c>
      <c r="P111" s="33">
        <f t="shared" si="36"/>
        <v>219.85368622302664</v>
      </c>
      <c r="Q111" s="32">
        <f t="shared" si="37"/>
        <v>8.5424661334422289</v>
      </c>
      <c r="R111" s="42">
        <f t="shared" si="38"/>
        <v>882.70543067444987</v>
      </c>
      <c r="S111" s="42">
        <f t="shared" si="39"/>
        <v>3596.0392226253221</v>
      </c>
      <c r="T111" s="42">
        <f t="shared" si="40"/>
        <v>35187.657142857141</v>
      </c>
      <c r="U111" s="32">
        <f t="shared" si="41"/>
        <v>5.3672201520616971</v>
      </c>
      <c r="V111" s="33">
        <f t="shared" si="42"/>
        <v>7.333333333333333</v>
      </c>
      <c r="W111" s="33">
        <f t="shared" si="43"/>
        <v>18.333333333333336</v>
      </c>
      <c r="X111" s="32">
        <f t="shared" si="44"/>
        <v>7.6338085494106469</v>
      </c>
      <c r="Y111" s="32">
        <f t="shared" si="45"/>
        <v>9.0874000000000006</v>
      </c>
      <c r="Z111" s="266" t="e">
        <f>IF(Use_BOM_DF,M111/10,MIN(0.972+(0.342*LN(Weather_Site!J114))-(0.245*LN(Weather_Site!I114)),1))</f>
        <v>#NUM!</v>
      </c>
      <c r="AA111" s="33" t="e">
        <f t="shared" si="46"/>
        <v>#NUM!</v>
      </c>
      <c r="AB111" s="33" t="e">
        <f t="shared" si="47"/>
        <v>#NUM!</v>
      </c>
      <c r="AC111" s="33" t="e">
        <f t="shared" si="48"/>
        <v>#NUM!</v>
      </c>
      <c r="AD111" s="32" t="e">
        <f t="shared" si="49"/>
        <v>#NUM!</v>
      </c>
      <c r="AE111" s="32" t="e">
        <f t="shared" si="50"/>
        <v>#NUM!</v>
      </c>
      <c r="AF111" s="42" t="e">
        <f t="shared" si="51"/>
        <v>#NUM!</v>
      </c>
      <c r="AG111" s="83">
        <f t="shared" si="52"/>
        <v>13.469344134592845</v>
      </c>
    </row>
    <row r="112" spans="1:33" x14ac:dyDescent="0.25">
      <c r="A112" s="23" t="str">
        <f>Weather_Site!A115</f>
        <v>Thu</v>
      </c>
      <c r="B112" s="24">
        <f>Weather_Site!B115</f>
        <v>44553</v>
      </c>
      <c r="C112" s="25">
        <f>Weather_Site!C115</f>
        <v>0.45833333333333331</v>
      </c>
      <c r="D112" s="27">
        <f>Weather_Site!D115</f>
        <v>26.7</v>
      </c>
      <c r="E112" s="27">
        <f>Weather_Site!E115</f>
        <v>28.1</v>
      </c>
      <c r="F112" s="28">
        <f>Weather_Site!F115</f>
        <v>159</v>
      </c>
      <c r="G112" s="27">
        <f>Weather_Site!G115</f>
        <v>20</v>
      </c>
      <c r="H112" s="27">
        <f>IF(Weather_Site!M115&lt;180,Weather_Site!M115+180,Weather_Site!M115-180)</f>
        <v>339</v>
      </c>
      <c r="I112" s="172">
        <f t="shared" si="53"/>
        <v>0</v>
      </c>
      <c r="J112" s="214">
        <f t="shared" si="54"/>
        <v>3</v>
      </c>
      <c r="K112" s="27">
        <f t="shared" si="33"/>
        <v>6.666666666666667</v>
      </c>
      <c r="L112" s="172">
        <f t="shared" si="55"/>
        <v>24</v>
      </c>
      <c r="M112" s="32">
        <f>IF(Use_BOM_DF,Weather_Site!H115,IF(0.191*(Weather_Site!K115+104)*(Weather_Site!J115+1)^1.5/(3.52*(Weather_Site!J115+1)^1.5+Weather_Site!I115-1)&gt;10, 10,0.191*(Weather_Site!K115+104)*(Weather_Site!J115+1)^1.5/(3.52*(Weather_Site!J115+1)^1.5+Weather_Site!I115-1)))</f>
        <v>7.882539682539683</v>
      </c>
      <c r="N112" s="32">
        <f t="shared" si="34"/>
        <v>14.613808586593168</v>
      </c>
      <c r="O112" s="33">
        <f t="shared" si="35"/>
        <v>420.87768729388318</v>
      </c>
      <c r="P112" s="33">
        <f t="shared" si="36"/>
        <v>263.57613469663733</v>
      </c>
      <c r="Q112" s="32">
        <f t="shared" si="37"/>
        <v>9.2314099348204817</v>
      </c>
      <c r="R112" s="42">
        <f t="shared" si="38"/>
        <v>1061.7248276787375</v>
      </c>
      <c r="S112" s="42">
        <f t="shared" si="39"/>
        <v>4114.0708955767841</v>
      </c>
      <c r="T112" s="42">
        <f t="shared" si="40"/>
        <v>35187.657142857141</v>
      </c>
      <c r="U112" s="32">
        <f t="shared" si="41"/>
        <v>4.9649939244909751</v>
      </c>
      <c r="V112" s="33">
        <f t="shared" si="42"/>
        <v>6.666666666666667</v>
      </c>
      <c r="W112" s="33">
        <f t="shared" si="43"/>
        <v>16.666666666666668</v>
      </c>
      <c r="X112" s="32">
        <f t="shared" si="44"/>
        <v>9.1519491214110182</v>
      </c>
      <c r="Y112" s="32">
        <f t="shared" si="45"/>
        <v>8.1368000000000009</v>
      </c>
      <c r="Z112" s="266" t="e">
        <f>IF(Use_BOM_DF,M112/10,MIN(0.972+(0.342*LN(Weather_Site!J115))-(0.245*LN(Weather_Site!I115)),1))</f>
        <v>#NUM!</v>
      </c>
      <c r="AA112" s="33" t="e">
        <f t="shared" si="46"/>
        <v>#NUM!</v>
      </c>
      <c r="AB112" s="33" t="e">
        <f t="shared" si="47"/>
        <v>#NUM!</v>
      </c>
      <c r="AC112" s="33" t="e">
        <f t="shared" si="48"/>
        <v>#NUM!</v>
      </c>
      <c r="AD112" s="32" t="e">
        <f t="shared" si="49"/>
        <v>#NUM!</v>
      </c>
      <c r="AE112" s="32" t="e">
        <f t="shared" si="50"/>
        <v>#NUM!</v>
      </c>
      <c r="AF112" s="42" t="e">
        <f t="shared" si="51"/>
        <v>#NUM!</v>
      </c>
      <c r="AG112" s="83">
        <f t="shared" si="52"/>
        <v>15.137909770753909</v>
      </c>
    </row>
    <row r="113" spans="1:33" x14ac:dyDescent="0.25">
      <c r="A113" s="23" t="str">
        <f>Weather_Site!A116</f>
        <v>Thu</v>
      </c>
      <c r="B113" s="24">
        <f>Weather_Site!B116</f>
        <v>44553</v>
      </c>
      <c r="C113" s="25">
        <f>Weather_Site!C116</f>
        <v>0.5</v>
      </c>
      <c r="D113" s="27">
        <f>Weather_Site!D116</f>
        <v>28.6</v>
      </c>
      <c r="E113" s="27">
        <f>Weather_Site!E116</f>
        <v>23.8</v>
      </c>
      <c r="F113" s="28">
        <f>Weather_Site!F116</f>
        <v>164</v>
      </c>
      <c r="G113" s="27">
        <f>Weather_Site!G116</f>
        <v>20</v>
      </c>
      <c r="H113" s="27">
        <f>IF(Weather_Site!M116&lt;180,Weather_Site!M116+180,Weather_Site!M116-180)</f>
        <v>344</v>
      </c>
      <c r="I113" s="172">
        <f t="shared" si="53"/>
        <v>0</v>
      </c>
      <c r="J113" s="214">
        <f t="shared" si="54"/>
        <v>3</v>
      </c>
      <c r="K113" s="27">
        <f t="shared" si="33"/>
        <v>6.666666666666667</v>
      </c>
      <c r="L113" s="172">
        <f t="shared" si="55"/>
        <v>24</v>
      </c>
      <c r="M113" s="32">
        <f>IF(Use_BOM_DF,Weather_Site!H116,IF(0.191*(Weather_Site!K116+104)*(Weather_Site!J116+1)^1.5/(3.52*(Weather_Site!J116+1)^1.5+Weather_Site!I116-1)&gt;10, 10,0.191*(Weather_Site!K116+104)*(Weather_Site!J116+1)^1.5/(3.52*(Weather_Site!J116+1)^1.5+Weather_Site!I116-1)))</f>
        <v>7.882539682539683</v>
      </c>
      <c r="N113" s="32">
        <f t="shared" si="34"/>
        <v>18.075128464737325</v>
      </c>
      <c r="O113" s="33">
        <f t="shared" si="35"/>
        <v>520.5636997844349</v>
      </c>
      <c r="P113" s="33">
        <f t="shared" si="36"/>
        <v>326.00485127821645</v>
      </c>
      <c r="Q113" s="32">
        <f t="shared" si="37"/>
        <v>10.527328097197653</v>
      </c>
      <c r="R113" s="42">
        <f t="shared" si="38"/>
        <v>1398.4641778718214</v>
      </c>
      <c r="S113" s="42">
        <f t="shared" si="39"/>
        <v>5088.4996549638663</v>
      </c>
      <c r="T113" s="42">
        <f t="shared" si="40"/>
        <v>35187.657142857141</v>
      </c>
      <c r="U113" s="32">
        <f t="shared" si="41"/>
        <v>4.5359474394202124</v>
      </c>
      <c r="V113" s="33">
        <f t="shared" si="42"/>
        <v>6.666666666666667</v>
      </c>
      <c r="W113" s="33">
        <f t="shared" si="43"/>
        <v>16.666666666666668</v>
      </c>
      <c r="X113" s="32">
        <f t="shared" si="44"/>
        <v>11.31961289160474</v>
      </c>
      <c r="Y113" s="32">
        <f t="shared" si="45"/>
        <v>5.0863999999999994</v>
      </c>
      <c r="Z113" s="266" t="e">
        <f>IF(Use_BOM_DF,M113/10,MIN(0.972+(0.342*LN(Weather_Site!J116))-(0.245*LN(Weather_Site!I116)),1))</f>
        <v>#NUM!</v>
      </c>
      <c r="AA113" s="33" t="e">
        <f t="shared" si="46"/>
        <v>#NUM!</v>
      </c>
      <c r="AB113" s="33" t="e">
        <f t="shared" si="47"/>
        <v>#NUM!</v>
      </c>
      <c r="AC113" s="33" t="e">
        <f t="shared" si="48"/>
        <v>#NUM!</v>
      </c>
      <c r="AD113" s="32" t="e">
        <f t="shared" si="49"/>
        <v>#NUM!</v>
      </c>
      <c r="AE113" s="32" t="e">
        <f t="shared" si="50"/>
        <v>#NUM!</v>
      </c>
      <c r="AF113" s="42" t="e">
        <f t="shared" si="51"/>
        <v>#NUM!</v>
      </c>
      <c r="AG113" s="83">
        <f t="shared" si="52"/>
        <v>18.301740739713644</v>
      </c>
    </row>
    <row r="114" spans="1:33" x14ac:dyDescent="0.25">
      <c r="A114" s="23" t="str">
        <f>Weather_Site!A117</f>
        <v>Thu</v>
      </c>
      <c r="B114" s="24">
        <f>Weather_Site!B117</f>
        <v>44553</v>
      </c>
      <c r="C114" s="25">
        <f>Weather_Site!C117</f>
        <v>0.54166666666666663</v>
      </c>
      <c r="D114" s="27">
        <f>Weather_Site!D117</f>
        <v>30.2</v>
      </c>
      <c r="E114" s="27">
        <f>Weather_Site!E117</f>
        <v>19.899999999999999</v>
      </c>
      <c r="F114" s="28">
        <f>Weather_Site!F117</f>
        <v>178</v>
      </c>
      <c r="G114" s="27">
        <f>Weather_Site!G117</f>
        <v>20</v>
      </c>
      <c r="H114" s="27">
        <f>IF(Weather_Site!M117&lt;180,Weather_Site!M117+180,Weather_Site!M117-180)</f>
        <v>358</v>
      </c>
      <c r="I114" s="172">
        <f t="shared" si="53"/>
        <v>0</v>
      </c>
      <c r="J114" s="214">
        <f t="shared" si="54"/>
        <v>3</v>
      </c>
      <c r="K114" s="27">
        <f t="shared" si="33"/>
        <v>6.666666666666667</v>
      </c>
      <c r="L114" s="172">
        <f t="shared" si="55"/>
        <v>24</v>
      </c>
      <c r="M114" s="32">
        <f>IF(Use_BOM_DF,Weather_Site!H117,IF(0.191*(Weather_Site!K117+104)*(Weather_Site!J117+1)^1.5/(3.52*(Weather_Site!J117+1)^1.5+Weather_Site!I117-1)&gt;10, 10,0.191*(Weather_Site!K117+104)*(Weather_Site!J117+1)^1.5/(3.52*(Weather_Site!J117+1)^1.5+Weather_Site!I117-1)))</f>
        <v>7.882539682539683</v>
      </c>
      <c r="N114" s="32">
        <f t="shared" si="34"/>
        <v>21.827417767946912</v>
      </c>
      <c r="O114" s="33">
        <f t="shared" si="35"/>
        <v>628.62963171687102</v>
      </c>
      <c r="P114" s="33">
        <f t="shared" si="36"/>
        <v>393.68152193824216</v>
      </c>
      <c r="Q114" s="32">
        <f t="shared" si="37"/>
        <v>11.932185212319323</v>
      </c>
      <c r="R114" s="42">
        <f t="shared" si="38"/>
        <v>1763.5108959395907</v>
      </c>
      <c r="S114" s="42">
        <f t="shared" si="39"/>
        <v>6144.8419577008026</v>
      </c>
      <c r="T114" s="42">
        <f t="shared" si="40"/>
        <v>35187.657142857141</v>
      </c>
      <c r="U114" s="32">
        <f t="shared" si="41"/>
        <v>4.202013124993135</v>
      </c>
      <c r="V114" s="33">
        <f t="shared" si="42"/>
        <v>6.666666666666667</v>
      </c>
      <c r="W114" s="33">
        <f t="shared" si="43"/>
        <v>16.666666666666668</v>
      </c>
      <c r="X114" s="32">
        <f t="shared" si="44"/>
        <v>13.669497289522299</v>
      </c>
      <c r="Y114" s="32">
        <f t="shared" si="45"/>
        <v>4.2957000000000001</v>
      </c>
      <c r="Z114" s="266" t="e">
        <f>IF(Use_BOM_DF,M114/10,MIN(0.972+(0.342*LN(Weather_Site!J117))-(0.245*LN(Weather_Site!I117)),1))</f>
        <v>#NUM!</v>
      </c>
      <c r="AA114" s="33" t="e">
        <f t="shared" si="46"/>
        <v>#NUM!</v>
      </c>
      <c r="AB114" s="33" t="e">
        <f t="shared" si="47"/>
        <v>#NUM!</v>
      </c>
      <c r="AC114" s="33" t="e">
        <f t="shared" si="48"/>
        <v>#NUM!</v>
      </c>
      <c r="AD114" s="32" t="e">
        <f t="shared" si="49"/>
        <v>#NUM!</v>
      </c>
      <c r="AE114" s="32" t="e">
        <f t="shared" si="50"/>
        <v>#NUM!</v>
      </c>
      <c r="AF114" s="42" t="e">
        <f t="shared" si="51"/>
        <v>#NUM!</v>
      </c>
      <c r="AG114" s="83">
        <f t="shared" si="52"/>
        <v>21.489914004881879</v>
      </c>
    </row>
    <row r="115" spans="1:33" x14ac:dyDescent="0.25">
      <c r="A115" s="45" t="str">
        <f>Weather_Site!A118</f>
        <v>Thu</v>
      </c>
      <c r="B115" s="46">
        <f>Weather_Site!B118</f>
        <v>44553</v>
      </c>
      <c r="C115" s="47">
        <f>Weather_Site!C118</f>
        <v>0.58333333333333337</v>
      </c>
      <c r="D115" s="48">
        <f>Weather_Site!D118</f>
        <v>32.1</v>
      </c>
      <c r="E115" s="48">
        <f>Weather_Site!E118</f>
        <v>16.100000000000001</v>
      </c>
      <c r="F115" s="49">
        <f>Weather_Site!F118</f>
        <v>176</v>
      </c>
      <c r="G115" s="48">
        <f>Weather_Site!G118</f>
        <v>20</v>
      </c>
      <c r="H115" s="48">
        <f>IF(Weather_Site!M118&lt;180,Weather_Site!M118+180,Weather_Site!M118-180)</f>
        <v>356</v>
      </c>
      <c r="I115" s="172">
        <f t="shared" si="53"/>
        <v>0</v>
      </c>
      <c r="J115" s="214">
        <f t="shared" si="54"/>
        <v>3</v>
      </c>
      <c r="K115" s="48">
        <f t="shared" si="33"/>
        <v>6.666666666666667</v>
      </c>
      <c r="L115" s="172">
        <f t="shared" si="55"/>
        <v>24</v>
      </c>
      <c r="M115" s="51">
        <f>IF(Use_BOM_DF,Weather_Site!H118,IF(0.191*(Weather_Site!K118+104)*(Weather_Site!J118+1)^1.5/(3.52*(Weather_Site!J118+1)^1.5+Weather_Site!I118-1)&gt;10, 10,0.191*(Weather_Site!K118+104)*(Weather_Site!J118+1)^1.5/(3.52*(Weather_Site!J118+1)^1.5+Weather_Site!I118-1)))</f>
        <v>7.882539682539683</v>
      </c>
      <c r="N115" s="51">
        <f t="shared" si="34"/>
        <v>26.535590650617895</v>
      </c>
      <c r="O115" s="52">
        <f t="shared" si="35"/>
        <v>764.22501073779529</v>
      </c>
      <c r="P115" s="52">
        <f t="shared" si="36"/>
        <v>478.5986058417779</v>
      </c>
      <c r="Q115" s="51">
        <f t="shared" si="37"/>
        <v>13.694925139591337</v>
      </c>
      <c r="R115" s="53">
        <f t="shared" si="38"/>
        <v>2221.5520862722724</v>
      </c>
      <c r="S115" s="53">
        <f t="shared" si="39"/>
        <v>7470.2840498950663</v>
      </c>
      <c r="T115" s="53">
        <f t="shared" si="40"/>
        <v>35187.657142857141</v>
      </c>
      <c r="U115" s="51">
        <f t="shared" si="41"/>
        <v>3.9087387093534818</v>
      </c>
      <c r="V115" s="52">
        <f t="shared" si="42"/>
        <v>6.666666666666667</v>
      </c>
      <c r="W115" s="52">
        <f t="shared" si="43"/>
        <v>16.666666666666668</v>
      </c>
      <c r="X115" s="51">
        <f t="shared" si="44"/>
        <v>16.618007147283954</v>
      </c>
      <c r="Y115" s="51">
        <f t="shared" si="45"/>
        <v>3.4672999999999998</v>
      </c>
      <c r="Z115" s="51" t="e">
        <f>IF(Use_BOM_DF,M115/10,MIN(0.972+(0.342*LN(Weather_Site!J118))-(0.245*LN(Weather_Site!I118)),1))</f>
        <v>#NUM!</v>
      </c>
      <c r="AA115" s="52" t="e">
        <f t="shared" si="46"/>
        <v>#NUM!</v>
      </c>
      <c r="AB115" s="52" t="e">
        <f t="shared" si="47"/>
        <v>#NUM!</v>
      </c>
      <c r="AC115" s="52" t="e">
        <f t="shared" si="48"/>
        <v>#NUM!</v>
      </c>
      <c r="AD115" s="51" t="e">
        <f t="shared" si="49"/>
        <v>#NUM!</v>
      </c>
      <c r="AE115" s="51" t="e">
        <f t="shared" si="50"/>
        <v>#NUM!</v>
      </c>
      <c r="AF115" s="53" t="e">
        <f t="shared" si="51"/>
        <v>#NUM!</v>
      </c>
      <c r="AG115" s="323">
        <f t="shared" si="52"/>
        <v>25.016023933486849</v>
      </c>
    </row>
    <row r="116" spans="1:33" x14ac:dyDescent="0.25">
      <c r="A116" s="45" t="str">
        <f>Weather_Site!A119</f>
        <v>Thu</v>
      </c>
      <c r="B116" s="46">
        <f>Weather_Site!B119</f>
        <v>44553</v>
      </c>
      <c r="C116" s="47">
        <f>Weather_Site!C119</f>
        <v>0.625</v>
      </c>
      <c r="D116" s="48">
        <f>Weather_Site!D119</f>
        <v>33</v>
      </c>
      <c r="E116" s="48">
        <f>Weather_Site!E119</f>
        <v>14.1</v>
      </c>
      <c r="F116" s="49">
        <f>Weather_Site!F119</f>
        <v>176</v>
      </c>
      <c r="G116" s="48">
        <f>Weather_Site!G119</f>
        <v>18</v>
      </c>
      <c r="H116" s="48">
        <f>IF(Weather_Site!M119&lt;180,Weather_Site!M119+180,Weather_Site!M119-180)</f>
        <v>356</v>
      </c>
      <c r="I116" s="172">
        <f t="shared" si="53"/>
        <v>0</v>
      </c>
      <c r="J116" s="214">
        <f t="shared" si="54"/>
        <v>3</v>
      </c>
      <c r="K116" s="48">
        <f t="shared" si="33"/>
        <v>6</v>
      </c>
      <c r="L116" s="172">
        <f t="shared" si="55"/>
        <v>24</v>
      </c>
      <c r="M116" s="51">
        <f>IF(Use_BOM_DF,Weather_Site!H119,IF(0.191*(Weather_Site!K119+104)*(Weather_Site!J119+1)^1.5/(3.52*(Weather_Site!J119+1)^1.5+Weather_Site!I119-1)&gt;10, 10,0.191*(Weather_Site!K119+104)*(Weather_Site!J119+1)^1.5/(3.52*(Weather_Site!J119+1)^1.5+Weather_Site!I119-1)))</f>
        <v>7.882539682539683</v>
      </c>
      <c r="N116" s="51">
        <f t="shared" si="34"/>
        <v>27.969283085552966</v>
      </c>
      <c r="O116" s="52">
        <f t="shared" si="35"/>
        <v>805.51535286392539</v>
      </c>
      <c r="P116" s="52">
        <f t="shared" si="36"/>
        <v>528.62656826610703</v>
      </c>
      <c r="Q116" s="51">
        <f t="shared" si="37"/>
        <v>14.231699587231031</v>
      </c>
      <c r="R116" s="53">
        <f t="shared" si="38"/>
        <v>2361.0308619743405</v>
      </c>
      <c r="S116" s="53">
        <f t="shared" si="39"/>
        <v>7873.8963105063185</v>
      </c>
      <c r="T116" s="53">
        <f t="shared" si="40"/>
        <v>35187.657142857141</v>
      </c>
      <c r="U116" s="51">
        <f t="shared" si="41"/>
        <v>3.7717074865478359</v>
      </c>
      <c r="V116" s="52">
        <f t="shared" si="42"/>
        <v>6</v>
      </c>
      <c r="W116" s="52">
        <f t="shared" si="43"/>
        <v>15</v>
      </c>
      <c r="X116" s="51">
        <f t="shared" si="44"/>
        <v>18.355089175906492</v>
      </c>
      <c r="Y116" s="51">
        <f t="shared" si="45"/>
        <v>3.0483000000000002</v>
      </c>
      <c r="Z116" s="51" t="e">
        <f>IF(Use_BOM_DF,M116/10,MIN(0.972+(0.342*LN(Weather_Site!J119))-(0.245*LN(Weather_Site!I119)),1))</f>
        <v>#NUM!</v>
      </c>
      <c r="AA116" s="52" t="e">
        <f t="shared" si="46"/>
        <v>#NUM!</v>
      </c>
      <c r="AB116" s="52" t="e">
        <f t="shared" si="47"/>
        <v>#NUM!</v>
      </c>
      <c r="AC116" s="52" t="e">
        <f t="shared" si="48"/>
        <v>#NUM!</v>
      </c>
      <c r="AD116" s="51" t="e">
        <f t="shared" si="49"/>
        <v>#NUM!</v>
      </c>
      <c r="AE116" s="51" t="e">
        <f t="shared" si="50"/>
        <v>#NUM!</v>
      </c>
      <c r="AF116" s="53" t="e">
        <f t="shared" si="51"/>
        <v>#NUM!</v>
      </c>
      <c r="AG116" s="323">
        <f t="shared" si="52"/>
        <v>25.730038584700864</v>
      </c>
    </row>
    <row r="117" spans="1:33" x14ac:dyDescent="0.25">
      <c r="A117" s="45" t="str">
        <f>Weather_Site!A120</f>
        <v>Thu</v>
      </c>
      <c r="B117" s="46">
        <f>Weather_Site!B120</f>
        <v>44553</v>
      </c>
      <c r="C117" s="47">
        <f>Weather_Site!C120</f>
        <v>0.66666666666666663</v>
      </c>
      <c r="D117" s="48">
        <f>Weather_Site!D120</f>
        <v>33.6</v>
      </c>
      <c r="E117" s="48">
        <f>Weather_Site!E120</f>
        <v>12.8</v>
      </c>
      <c r="F117" s="49">
        <f>Weather_Site!F120</f>
        <v>179</v>
      </c>
      <c r="G117" s="48">
        <f>Weather_Site!G120</f>
        <v>19</v>
      </c>
      <c r="H117" s="48">
        <f>IF(Weather_Site!M120&lt;180,Weather_Site!M120+180,Weather_Site!M120-180)</f>
        <v>359</v>
      </c>
      <c r="I117" s="172">
        <f t="shared" si="53"/>
        <v>0</v>
      </c>
      <c r="J117" s="214">
        <f t="shared" si="54"/>
        <v>3</v>
      </c>
      <c r="K117" s="48">
        <f t="shared" si="33"/>
        <v>6.333333333333333</v>
      </c>
      <c r="L117" s="172">
        <f t="shared" si="55"/>
        <v>24</v>
      </c>
      <c r="M117" s="51">
        <f>IF(Use_BOM_DF,Weather_Site!H120,IF(0.191*(Weather_Site!K120+104)*(Weather_Site!J120+1)^1.5/(3.52*(Weather_Site!J120+1)^1.5+Weather_Site!I120-1)&gt;10, 10,0.191*(Weather_Site!K120+104)*(Weather_Site!J120+1)^1.5/(3.52*(Weather_Site!J120+1)^1.5+Weather_Site!I120-1)))</f>
        <v>7.882539682539683</v>
      </c>
      <c r="N117" s="51">
        <f t="shared" si="34"/>
        <v>30.558316527670261</v>
      </c>
      <c r="O117" s="52">
        <f t="shared" si="35"/>
        <v>880.07951599690352</v>
      </c>
      <c r="P117" s="52">
        <f t="shared" si="36"/>
        <v>564.20195434118693</v>
      </c>
      <c r="Q117" s="51">
        <f t="shared" si="37"/>
        <v>15.201033707959745</v>
      </c>
      <c r="R117" s="53">
        <f t="shared" si="38"/>
        <v>2612.9086050375399</v>
      </c>
      <c r="S117" s="53">
        <f t="shared" si="39"/>
        <v>8602.7594996452208</v>
      </c>
      <c r="T117" s="53">
        <f t="shared" si="40"/>
        <v>35187.657142857141</v>
      </c>
      <c r="U117" s="51">
        <f t="shared" si="41"/>
        <v>3.6873496683466445</v>
      </c>
      <c r="V117" s="52">
        <f t="shared" si="42"/>
        <v>6.333333333333333</v>
      </c>
      <c r="W117" s="52">
        <f t="shared" si="43"/>
        <v>15.833333333333334</v>
      </c>
      <c r="X117" s="51">
        <f t="shared" si="44"/>
        <v>19.59034563684677</v>
      </c>
      <c r="Y117" s="51">
        <f t="shared" si="45"/>
        <v>2.7733999999999996</v>
      </c>
      <c r="Z117" s="51" t="e">
        <f>IF(Use_BOM_DF,M117/10,MIN(0.972+(0.342*LN(Weather_Site!J120))-(0.245*LN(Weather_Site!I120)),1))</f>
        <v>#NUM!</v>
      </c>
      <c r="AA117" s="52" t="e">
        <f t="shared" si="46"/>
        <v>#NUM!</v>
      </c>
      <c r="AB117" s="52" t="e">
        <f t="shared" si="47"/>
        <v>#NUM!</v>
      </c>
      <c r="AC117" s="52" t="e">
        <f t="shared" si="48"/>
        <v>#NUM!</v>
      </c>
      <c r="AD117" s="51" t="e">
        <f t="shared" si="49"/>
        <v>#NUM!</v>
      </c>
      <c r="AE117" s="51" t="e">
        <f t="shared" si="50"/>
        <v>#NUM!</v>
      </c>
      <c r="AF117" s="53" t="e">
        <f t="shared" si="51"/>
        <v>#NUM!</v>
      </c>
      <c r="AG117" s="323">
        <f t="shared" si="52"/>
        <v>27.620571307133659</v>
      </c>
    </row>
    <row r="118" spans="1:33" x14ac:dyDescent="0.25">
      <c r="A118" s="45" t="str">
        <f>Weather_Site!A121</f>
        <v>Thu</v>
      </c>
      <c r="B118" s="46">
        <f>Weather_Site!B121</f>
        <v>44553</v>
      </c>
      <c r="C118" s="47">
        <f>Weather_Site!C121</f>
        <v>0.70833333333333337</v>
      </c>
      <c r="D118" s="48">
        <f>Weather_Site!D121</f>
        <v>33.799999999999997</v>
      </c>
      <c r="E118" s="48">
        <f>Weather_Site!E121</f>
        <v>11.6</v>
      </c>
      <c r="F118" s="49">
        <f>Weather_Site!F121</f>
        <v>177</v>
      </c>
      <c r="G118" s="48">
        <f>Weather_Site!G121</f>
        <v>19</v>
      </c>
      <c r="H118" s="48">
        <f>IF(Weather_Site!M121&lt;180,Weather_Site!M121+180,Weather_Site!M121-180)</f>
        <v>357</v>
      </c>
      <c r="I118" s="172">
        <f t="shared" si="53"/>
        <v>0</v>
      </c>
      <c r="J118" s="214">
        <f t="shared" si="54"/>
        <v>3</v>
      </c>
      <c r="K118" s="48">
        <f t="shared" si="33"/>
        <v>6.333333333333333</v>
      </c>
      <c r="L118" s="172">
        <f t="shared" si="55"/>
        <v>24</v>
      </c>
      <c r="M118" s="51">
        <f>IF(Use_BOM_DF,Weather_Site!H121,IF(0.191*(Weather_Site!K121+104)*(Weather_Site!J121+1)^1.5/(3.52*(Weather_Site!J121+1)^1.5+Weather_Site!I121-1)&gt;10, 10,0.191*(Weather_Site!K121+104)*(Weather_Site!J121+1)^1.5/(3.52*(Weather_Site!J121+1)^1.5+Weather_Site!I121-1)))</f>
        <v>7.882539682539683</v>
      </c>
      <c r="N118" s="51">
        <f t="shared" si="34"/>
        <v>32.066019129585989</v>
      </c>
      <c r="O118" s="52">
        <f t="shared" si="35"/>
        <v>923.50135093207643</v>
      </c>
      <c r="P118" s="52">
        <f t="shared" si="36"/>
        <v>592.03885281024657</v>
      </c>
      <c r="Q118" s="51">
        <f t="shared" si="37"/>
        <v>15.76551756211699</v>
      </c>
      <c r="R118" s="53">
        <f t="shared" si="38"/>
        <v>2759.5875634485542</v>
      </c>
      <c r="S118" s="53">
        <f t="shared" si="39"/>
        <v>9027.2070594290108</v>
      </c>
      <c r="T118" s="53">
        <f t="shared" si="40"/>
        <v>35187.657142857141</v>
      </c>
      <c r="U118" s="51">
        <f t="shared" si="41"/>
        <v>3.6177374076939661</v>
      </c>
      <c r="V118" s="52">
        <f t="shared" si="42"/>
        <v>6.333333333333333</v>
      </c>
      <c r="W118" s="52">
        <f t="shared" si="43"/>
        <v>15.833333333333334</v>
      </c>
      <c r="X118" s="51">
        <f t="shared" si="44"/>
        <v>20.556904611466898</v>
      </c>
      <c r="Y118" s="51">
        <f t="shared" si="45"/>
        <v>2.5798000000000005</v>
      </c>
      <c r="Z118" s="51" t="e">
        <f>IF(Use_BOM_DF,M118/10,MIN(0.972+(0.342*LN(Weather_Site!J121))-(0.245*LN(Weather_Site!I121)),1))</f>
        <v>#NUM!</v>
      </c>
      <c r="AA118" s="52" t="e">
        <f t="shared" si="46"/>
        <v>#NUM!</v>
      </c>
      <c r="AB118" s="52" t="e">
        <f t="shared" si="47"/>
        <v>#NUM!</v>
      </c>
      <c r="AC118" s="52" t="e">
        <f t="shared" si="48"/>
        <v>#NUM!</v>
      </c>
      <c r="AD118" s="51" t="e">
        <f t="shared" si="49"/>
        <v>#NUM!</v>
      </c>
      <c r="AE118" s="51" t="e">
        <f t="shared" si="50"/>
        <v>#NUM!</v>
      </c>
      <c r="AF118" s="53" t="e">
        <f t="shared" si="51"/>
        <v>#NUM!</v>
      </c>
      <c r="AG118" s="323">
        <f t="shared" si="52"/>
        <v>28.748484221190051</v>
      </c>
    </row>
    <row r="119" spans="1:33" x14ac:dyDescent="0.25">
      <c r="A119" s="45" t="str">
        <f>Weather_Site!A122</f>
        <v>Thu</v>
      </c>
      <c r="B119" s="46">
        <f>Weather_Site!B122</f>
        <v>44553</v>
      </c>
      <c r="C119" s="47">
        <f>Weather_Site!C122</f>
        <v>0.75</v>
      </c>
      <c r="D119" s="48">
        <f>Weather_Site!D122</f>
        <v>33.200000000000003</v>
      </c>
      <c r="E119" s="48">
        <f>Weather_Site!E122</f>
        <v>11.8</v>
      </c>
      <c r="F119" s="49">
        <f>Weather_Site!F122</f>
        <v>173</v>
      </c>
      <c r="G119" s="48">
        <f>Weather_Site!G122</f>
        <v>21</v>
      </c>
      <c r="H119" s="48">
        <f>IF(Weather_Site!M122&lt;180,Weather_Site!M122+180,Weather_Site!M122-180)</f>
        <v>353</v>
      </c>
      <c r="I119" s="172">
        <f t="shared" si="53"/>
        <v>0</v>
      </c>
      <c r="J119" s="214">
        <f t="shared" si="54"/>
        <v>3</v>
      </c>
      <c r="K119" s="48">
        <f t="shared" si="33"/>
        <v>7</v>
      </c>
      <c r="L119" s="172">
        <f t="shared" si="55"/>
        <v>24</v>
      </c>
      <c r="M119" s="51">
        <f>IF(Use_BOM_DF,Weather_Site!H122,IF(0.191*(Weather_Site!K122+104)*(Weather_Site!J122+1)^1.5/(3.52*(Weather_Site!J122+1)^1.5+Weather_Site!I122-1)&gt;10, 10,0.191*(Weather_Site!K122+104)*(Weather_Site!J122+1)^1.5/(3.52*(Weather_Site!J122+1)^1.5+Weather_Site!I122-1)))</f>
        <v>7.882539682539683</v>
      </c>
      <c r="N119" s="51">
        <f t="shared" si="34"/>
        <v>32.701366804603694</v>
      </c>
      <c r="O119" s="52">
        <f t="shared" si="35"/>
        <v>941.79936397258632</v>
      </c>
      <c r="P119" s="52">
        <f t="shared" si="36"/>
        <v>576.16395395589757</v>
      </c>
      <c r="Q119" s="51">
        <f t="shared" si="37"/>
        <v>16.003391731643621</v>
      </c>
      <c r="R119" s="53">
        <f t="shared" si="38"/>
        <v>2821.3982514993968</v>
      </c>
      <c r="S119" s="53">
        <f t="shared" si="39"/>
        <v>9206.069767454399</v>
      </c>
      <c r="T119" s="53">
        <f t="shared" si="40"/>
        <v>35187.657142857141</v>
      </c>
      <c r="U119" s="51">
        <f t="shared" si="41"/>
        <v>3.637265538785472</v>
      </c>
      <c r="V119" s="52">
        <f t="shared" si="42"/>
        <v>7</v>
      </c>
      <c r="W119" s="52">
        <f t="shared" si="43"/>
        <v>17.5</v>
      </c>
      <c r="X119" s="51">
        <f t="shared" si="44"/>
        <v>20.005692845690891</v>
      </c>
      <c r="Y119" s="51">
        <f t="shared" si="45"/>
        <v>2.7083999999999993</v>
      </c>
      <c r="Z119" s="51" t="e">
        <f>IF(Use_BOM_DF,M119/10,MIN(0.972+(0.342*LN(Weather_Site!J122))-(0.245*LN(Weather_Site!I122)),1))</f>
        <v>#NUM!</v>
      </c>
      <c r="AA119" s="52" t="e">
        <f t="shared" si="46"/>
        <v>#NUM!</v>
      </c>
      <c r="AB119" s="52" t="e">
        <f t="shared" si="47"/>
        <v>#NUM!</v>
      </c>
      <c r="AC119" s="52" t="e">
        <f t="shared" si="48"/>
        <v>#NUM!</v>
      </c>
      <c r="AD119" s="51" t="e">
        <f t="shared" si="49"/>
        <v>#NUM!</v>
      </c>
      <c r="AE119" s="51" t="e">
        <f t="shared" si="50"/>
        <v>#NUM!</v>
      </c>
      <c r="AF119" s="53" t="e">
        <f t="shared" si="51"/>
        <v>#NUM!</v>
      </c>
      <c r="AG119" s="323">
        <f t="shared" si="52"/>
        <v>29.78723567307544</v>
      </c>
    </row>
    <row r="120" spans="1:33" x14ac:dyDescent="0.25">
      <c r="A120" s="23" t="str">
        <f>Weather_Site!A123</f>
        <v>Thu</v>
      </c>
      <c r="B120" s="24">
        <f>Weather_Site!B123</f>
        <v>44553</v>
      </c>
      <c r="C120" s="25">
        <f>Weather_Site!C123</f>
        <v>0.79166666666666663</v>
      </c>
      <c r="D120" s="27">
        <f>Weather_Site!D123</f>
        <v>32.700000000000003</v>
      </c>
      <c r="E120" s="27">
        <f>Weather_Site!E123</f>
        <v>12</v>
      </c>
      <c r="F120" s="28">
        <f>Weather_Site!F123</f>
        <v>176</v>
      </c>
      <c r="G120" s="27">
        <f>Weather_Site!G123</f>
        <v>19</v>
      </c>
      <c r="H120" s="27">
        <f>IF(Weather_Site!M123&lt;180,Weather_Site!M123+180,Weather_Site!M123-180)</f>
        <v>356</v>
      </c>
      <c r="I120" s="172">
        <f t="shared" si="53"/>
        <v>0</v>
      </c>
      <c r="J120" s="214">
        <f t="shared" si="54"/>
        <v>3</v>
      </c>
      <c r="K120" s="27">
        <f t="shared" si="33"/>
        <v>6.333333333333333</v>
      </c>
      <c r="L120" s="172">
        <f t="shared" si="55"/>
        <v>24</v>
      </c>
      <c r="M120" s="32">
        <f>IF(Use_BOM_DF,Weather_Site!H123,IF(0.191*(Weather_Site!K123+104)*(Weather_Site!J123+1)^1.5/(3.52*(Weather_Site!J123+1)^1.5+Weather_Site!I123-1)&gt;10, 10,0.191*(Weather_Site!K123+104)*(Weather_Site!J123+1)^1.5/(3.52*(Weather_Site!J123+1)^1.5+Weather_Site!I123-1)))</f>
        <v>7.882539682539683</v>
      </c>
      <c r="N120" s="32">
        <f t="shared" si="34"/>
        <v>30.472263466905268</v>
      </c>
      <c r="O120" s="33">
        <f t="shared" si="35"/>
        <v>877.60118784687165</v>
      </c>
      <c r="P120" s="33">
        <f t="shared" si="36"/>
        <v>562.61314610246461</v>
      </c>
      <c r="Q120" s="32">
        <f t="shared" si="37"/>
        <v>15.168815442009333</v>
      </c>
      <c r="R120" s="42">
        <f t="shared" si="38"/>
        <v>2604.536812546733</v>
      </c>
      <c r="S120" s="42">
        <f t="shared" si="39"/>
        <v>8578.5338920172835</v>
      </c>
      <c r="T120" s="42">
        <f t="shared" si="40"/>
        <v>35187.657142857141</v>
      </c>
      <c r="U120" s="32">
        <f t="shared" si="41"/>
        <v>3.6557348272763588</v>
      </c>
      <c r="V120" s="33">
        <f t="shared" si="42"/>
        <v>6.333333333333333</v>
      </c>
      <c r="W120" s="33">
        <f t="shared" si="43"/>
        <v>15.833333333333334</v>
      </c>
      <c r="X120" s="32">
        <f t="shared" si="44"/>
        <v>19.535178684113355</v>
      </c>
      <c r="Y120" s="32">
        <f t="shared" si="45"/>
        <v>2.8199999999999994</v>
      </c>
      <c r="Z120" s="266" t="e">
        <f>IF(Use_BOM_DF,M120/10,MIN(0.972+(0.342*LN(Weather_Site!J123))-(0.245*LN(Weather_Site!I123)),1))</f>
        <v>#NUM!</v>
      </c>
      <c r="AA120" s="33" t="e">
        <f t="shared" si="46"/>
        <v>#NUM!</v>
      </c>
      <c r="AB120" s="33" t="e">
        <f t="shared" si="47"/>
        <v>#NUM!</v>
      </c>
      <c r="AC120" s="33" t="e">
        <f t="shared" si="48"/>
        <v>#NUM!</v>
      </c>
      <c r="AD120" s="32" t="e">
        <f t="shared" si="49"/>
        <v>#NUM!</v>
      </c>
      <c r="AE120" s="32" t="e">
        <f t="shared" si="50"/>
        <v>#NUM!</v>
      </c>
      <c r="AF120" s="42" t="e">
        <f t="shared" si="51"/>
        <v>#NUM!</v>
      </c>
      <c r="AG120" s="83">
        <f t="shared" si="52"/>
        <v>28.124570272061121</v>
      </c>
    </row>
    <row r="121" spans="1:33" x14ac:dyDescent="0.25">
      <c r="A121" s="23" t="str">
        <f>Weather_Site!A124</f>
        <v>Thu</v>
      </c>
      <c r="B121" s="24">
        <f>Weather_Site!B124</f>
        <v>44553</v>
      </c>
      <c r="C121" s="25">
        <f>Weather_Site!C124</f>
        <v>0.83333333333333337</v>
      </c>
      <c r="D121" s="27">
        <f>Weather_Site!D124</f>
        <v>31.1</v>
      </c>
      <c r="E121" s="27">
        <f>Weather_Site!E124</f>
        <v>14.3</v>
      </c>
      <c r="F121" s="28">
        <f>Weather_Site!F124</f>
        <v>170</v>
      </c>
      <c r="G121" s="27">
        <f>Weather_Site!G124</f>
        <v>17</v>
      </c>
      <c r="H121" s="27">
        <f>IF(Weather_Site!M124&lt;180,Weather_Site!M124+180,Weather_Site!M124-180)</f>
        <v>350</v>
      </c>
      <c r="I121" s="172">
        <f t="shared" si="53"/>
        <v>0</v>
      </c>
      <c r="J121" s="214">
        <f t="shared" si="54"/>
        <v>3</v>
      </c>
      <c r="K121" s="27">
        <f t="shared" si="33"/>
        <v>5.666666666666667</v>
      </c>
      <c r="L121" s="172">
        <f t="shared" si="55"/>
        <v>24</v>
      </c>
      <c r="M121" s="32">
        <f>IF(Use_BOM_DF,Weather_Site!H124,IF(0.191*(Weather_Site!K124+104)*(Weather_Site!J124+1)^1.5/(3.52*(Weather_Site!J124+1)^1.5+Weather_Site!I124-1)&gt;10, 10,0.191*(Weather_Site!K124+104)*(Weather_Site!J124+1)^1.5/(3.52*(Weather_Site!J124+1)^1.5+Weather_Site!I124-1)))</f>
        <v>7.882539682539683</v>
      </c>
      <c r="N121" s="32">
        <f t="shared" si="34"/>
        <v>25.446720529342837</v>
      </c>
      <c r="O121" s="33">
        <f t="shared" si="35"/>
        <v>732.86555124507368</v>
      </c>
      <c r="P121" s="33">
        <f t="shared" si="36"/>
        <v>492.33641959074873</v>
      </c>
      <c r="Q121" s="32">
        <f t="shared" si="37"/>
        <v>13.287252166185958</v>
      </c>
      <c r="R121" s="42">
        <f t="shared" si="38"/>
        <v>2115.6198321058591</v>
      </c>
      <c r="S121" s="42">
        <f t="shared" si="39"/>
        <v>7163.7459665161332</v>
      </c>
      <c r="T121" s="42">
        <f t="shared" si="40"/>
        <v>35187.657142857141</v>
      </c>
      <c r="U121" s="32">
        <f t="shared" si="41"/>
        <v>3.8176227205424516</v>
      </c>
      <c r="V121" s="33">
        <f t="shared" si="42"/>
        <v>5.666666666666667</v>
      </c>
      <c r="W121" s="33">
        <f t="shared" si="43"/>
        <v>14.166666666666668</v>
      </c>
      <c r="X121" s="32">
        <f t="shared" si="44"/>
        <v>17.095014569123222</v>
      </c>
      <c r="Y121" s="32">
        <f t="shared" si="45"/>
        <v>3.3978999999999999</v>
      </c>
      <c r="Z121" s="266" t="e">
        <f>IF(Use_BOM_DF,M121/10,MIN(0.972+(0.342*LN(Weather_Site!J124))-(0.245*LN(Weather_Site!I124)),1))</f>
        <v>#NUM!</v>
      </c>
      <c r="AA121" s="33" t="e">
        <f t="shared" si="46"/>
        <v>#NUM!</v>
      </c>
      <c r="AB121" s="33" t="e">
        <f t="shared" si="47"/>
        <v>#NUM!</v>
      </c>
      <c r="AC121" s="33" t="e">
        <f t="shared" si="48"/>
        <v>#NUM!</v>
      </c>
      <c r="AD121" s="32" t="e">
        <f t="shared" si="49"/>
        <v>#NUM!</v>
      </c>
      <c r="AE121" s="32" t="e">
        <f t="shared" si="50"/>
        <v>#NUM!</v>
      </c>
      <c r="AF121" s="42" t="e">
        <f t="shared" si="51"/>
        <v>#NUM!</v>
      </c>
      <c r="AG121" s="83">
        <f t="shared" si="52"/>
        <v>24.504307885671299</v>
      </c>
    </row>
    <row r="122" spans="1:33" x14ac:dyDescent="0.25">
      <c r="A122" s="23" t="str">
        <f>Weather_Site!A125</f>
        <v>Thu</v>
      </c>
      <c r="B122" s="24">
        <f>Weather_Site!B125</f>
        <v>44553</v>
      </c>
      <c r="C122" s="25">
        <f>Weather_Site!C125</f>
        <v>0.875</v>
      </c>
      <c r="D122" s="27">
        <f>Weather_Site!D125</f>
        <v>28.5</v>
      </c>
      <c r="E122" s="27">
        <f>Weather_Site!E125</f>
        <v>17.7</v>
      </c>
      <c r="F122" s="28">
        <f>Weather_Site!F125</f>
        <v>169</v>
      </c>
      <c r="G122" s="27">
        <f>Weather_Site!G125</f>
        <v>14</v>
      </c>
      <c r="H122" s="27">
        <f>IF(Weather_Site!M125&lt;180,Weather_Site!M125+180,Weather_Site!M125-180)</f>
        <v>349</v>
      </c>
      <c r="I122" s="172">
        <f t="shared" ref="I122:I153" si="56">C$5</f>
        <v>0</v>
      </c>
      <c r="J122" s="214">
        <f t="shared" ref="J122:J153" si="57">J$4</f>
        <v>3</v>
      </c>
      <c r="K122" s="27">
        <f t="shared" si="33"/>
        <v>4.666666666666667</v>
      </c>
      <c r="L122" s="172">
        <f t="shared" ref="L122:L153" si="58">C$4</f>
        <v>24</v>
      </c>
      <c r="M122" s="32">
        <f>IF(Use_BOM_DF,Weather_Site!H125,IF(0.191*(Weather_Site!K125+104)*(Weather_Site!J125+1)^1.5/(3.52*(Weather_Site!J125+1)^1.5+Weather_Site!I125-1)&gt;10, 10,0.191*(Weather_Site!K125+104)*(Weather_Site!J125+1)^1.5/(3.52*(Weather_Site!J125+1)^1.5+Weather_Site!I125-1)))</f>
        <v>7.882539682539683</v>
      </c>
      <c r="N122" s="32">
        <f t="shared" si="34"/>
        <v>19.321276061509106</v>
      </c>
      <c r="O122" s="33">
        <f t="shared" si="35"/>
        <v>556.45275057146216</v>
      </c>
      <c r="P122" s="33">
        <f t="shared" si="36"/>
        <v>401.00835499058428</v>
      </c>
      <c r="Q122" s="32">
        <f t="shared" si="37"/>
        <v>10.993885757429007</v>
      </c>
      <c r="R122" s="42">
        <f t="shared" si="38"/>
        <v>1519.697391430399</v>
      </c>
      <c r="S122" s="42">
        <f t="shared" si="39"/>
        <v>5439.3144017900322</v>
      </c>
      <c r="T122" s="42">
        <f t="shared" si="40"/>
        <v>35187.657142857141</v>
      </c>
      <c r="U122" s="32">
        <f t="shared" si="41"/>
        <v>4.0940399837951391</v>
      </c>
      <c r="V122" s="33">
        <f t="shared" si="42"/>
        <v>4.666666666666667</v>
      </c>
      <c r="W122" s="33">
        <f t="shared" si="43"/>
        <v>11.666666666666668</v>
      </c>
      <c r="X122" s="32">
        <f t="shared" si="44"/>
        <v>13.923901214950844</v>
      </c>
      <c r="Y122" s="32">
        <f t="shared" si="45"/>
        <v>4.2920999999999996</v>
      </c>
      <c r="Z122" s="266" t="e">
        <f>IF(Use_BOM_DF,M122/10,MIN(0.972+(0.342*LN(Weather_Site!J125))-(0.245*LN(Weather_Site!I125)),1))</f>
        <v>#NUM!</v>
      </c>
      <c r="AA122" s="33" t="e">
        <f t="shared" si="46"/>
        <v>#NUM!</v>
      </c>
      <c r="AB122" s="33" t="e">
        <f t="shared" si="47"/>
        <v>#NUM!</v>
      </c>
      <c r="AC122" s="33" t="e">
        <f t="shared" si="48"/>
        <v>#NUM!</v>
      </c>
      <c r="AD122" s="32" t="e">
        <f t="shared" si="49"/>
        <v>#NUM!</v>
      </c>
      <c r="AE122" s="32" t="e">
        <f t="shared" si="50"/>
        <v>#NUM!</v>
      </c>
      <c r="AF122" s="42" t="e">
        <f t="shared" si="51"/>
        <v>#NUM!</v>
      </c>
      <c r="AG122" s="83">
        <f t="shared" si="52"/>
        <v>19.724268888875653</v>
      </c>
    </row>
    <row r="123" spans="1:33" x14ac:dyDescent="0.25">
      <c r="A123" s="23" t="str">
        <f>Weather_Site!A126</f>
        <v>Thu</v>
      </c>
      <c r="B123" s="24">
        <f>Weather_Site!B126</f>
        <v>44553</v>
      </c>
      <c r="C123" s="25">
        <f>Weather_Site!C126</f>
        <v>0.91666666666666663</v>
      </c>
      <c r="D123" s="27">
        <f>Weather_Site!D126</f>
        <v>26.2</v>
      </c>
      <c r="E123" s="27">
        <f>Weather_Site!E126</f>
        <v>22</v>
      </c>
      <c r="F123" s="28">
        <f>Weather_Site!F126</f>
        <v>172</v>
      </c>
      <c r="G123" s="27">
        <f>Weather_Site!G126</f>
        <v>12</v>
      </c>
      <c r="H123" s="27">
        <f>IF(Weather_Site!M126&lt;180,Weather_Site!M126+180,Weather_Site!M126-180)</f>
        <v>352</v>
      </c>
      <c r="I123" s="172">
        <f t="shared" si="56"/>
        <v>0</v>
      </c>
      <c r="J123" s="214">
        <f t="shared" si="57"/>
        <v>3</v>
      </c>
      <c r="K123" s="27">
        <f t="shared" si="33"/>
        <v>4</v>
      </c>
      <c r="L123" s="172">
        <f t="shared" si="58"/>
        <v>24</v>
      </c>
      <c r="M123" s="32">
        <f>IF(Use_BOM_DF,Weather_Site!H126,IF(0.191*(Weather_Site!K126+104)*(Weather_Site!J126+1)^1.5/(3.52*(Weather_Site!J126+1)^1.5+Weather_Site!I126-1)&gt;10, 10,0.191*(Weather_Site!K126+104)*(Weather_Site!J126+1)^1.5/(3.52*(Weather_Site!J126+1)^1.5+Weather_Site!I126-1)))</f>
        <v>7.882539682539683</v>
      </c>
      <c r="N123" s="32">
        <f t="shared" si="34"/>
        <v>14.706901528396793</v>
      </c>
      <c r="O123" s="33">
        <f t="shared" si="35"/>
        <v>423.55876401782763</v>
      </c>
      <c r="P123" s="33">
        <f t="shared" si="36"/>
        <v>319.86283474455337</v>
      </c>
      <c r="Q123" s="32">
        <f t="shared" si="37"/>
        <v>9.2662639322317588</v>
      </c>
      <c r="R123" s="42">
        <f t="shared" si="38"/>
        <v>1070.7815048522216</v>
      </c>
      <c r="S123" s="42">
        <f t="shared" si="39"/>
        <v>4140.2783664211256</v>
      </c>
      <c r="T123" s="42">
        <f t="shared" si="40"/>
        <v>35187.657142857141</v>
      </c>
      <c r="U123" s="32">
        <f t="shared" si="41"/>
        <v>4.4777807712291589</v>
      </c>
      <c r="V123" s="33">
        <f t="shared" si="42"/>
        <v>4</v>
      </c>
      <c r="W123" s="33">
        <f t="shared" si="43"/>
        <v>10</v>
      </c>
      <c r="X123" s="32">
        <f t="shared" si="44"/>
        <v>11.106348428630325</v>
      </c>
      <c r="Y123" s="32">
        <f t="shared" si="45"/>
        <v>5.2549999999999999</v>
      </c>
      <c r="Z123" s="266" t="e">
        <f>IF(Use_BOM_DF,M123/10,MIN(0.972+(0.342*LN(Weather_Site!J126))-(0.245*LN(Weather_Site!I126)),1))</f>
        <v>#NUM!</v>
      </c>
      <c r="AA123" s="33" t="e">
        <f t="shared" si="46"/>
        <v>#NUM!</v>
      </c>
      <c r="AB123" s="33" t="e">
        <f t="shared" si="47"/>
        <v>#NUM!</v>
      </c>
      <c r="AC123" s="33" t="e">
        <f t="shared" si="48"/>
        <v>#NUM!</v>
      </c>
      <c r="AD123" s="32" t="e">
        <f t="shared" si="49"/>
        <v>#NUM!</v>
      </c>
      <c r="AE123" s="32" t="e">
        <f t="shared" si="50"/>
        <v>#NUM!</v>
      </c>
      <c r="AF123" s="42" t="e">
        <f t="shared" si="51"/>
        <v>#NUM!</v>
      </c>
      <c r="AG123" s="83">
        <f t="shared" si="52"/>
        <v>15.594209464768518</v>
      </c>
    </row>
    <row r="124" spans="1:33" x14ac:dyDescent="0.25">
      <c r="A124" s="23" t="str">
        <f>Weather_Site!A127</f>
        <v>Thu</v>
      </c>
      <c r="B124" s="24">
        <f>Weather_Site!B127</f>
        <v>44553</v>
      </c>
      <c r="C124" s="25">
        <f>Weather_Site!C127</f>
        <v>0.95833333333333337</v>
      </c>
      <c r="D124" s="27">
        <f>Weather_Site!D127</f>
        <v>24.3</v>
      </c>
      <c r="E124" s="27">
        <f>Weather_Site!E127</f>
        <v>25.5</v>
      </c>
      <c r="F124" s="28">
        <f>Weather_Site!F127</f>
        <v>169</v>
      </c>
      <c r="G124" s="27">
        <f>Weather_Site!G127</f>
        <v>11</v>
      </c>
      <c r="H124" s="27">
        <f>IF(Weather_Site!M127&lt;180,Weather_Site!M127+180,Weather_Site!M127-180)</f>
        <v>349</v>
      </c>
      <c r="I124" s="172">
        <f t="shared" si="56"/>
        <v>0</v>
      </c>
      <c r="J124" s="214">
        <f t="shared" si="57"/>
        <v>3</v>
      </c>
      <c r="K124" s="27">
        <f t="shared" si="33"/>
        <v>3.6666666666666665</v>
      </c>
      <c r="L124" s="172">
        <f t="shared" si="58"/>
        <v>24</v>
      </c>
      <c r="M124" s="32">
        <f>IF(Use_BOM_DF,Weather_Site!H127,IF(0.191*(Weather_Site!K127+104)*(Weather_Site!J127+1)^1.5/(3.52*(Weather_Site!J127+1)^1.5+Weather_Site!I127-1)&gt;10, 10,0.191*(Weather_Site!K127+104)*(Weather_Site!J127+1)^1.5/(3.52*(Weather_Site!J127+1)^1.5+Weather_Site!I127-1)))</f>
        <v>7.882539682539683</v>
      </c>
      <c r="N124" s="32">
        <f t="shared" si="34"/>
        <v>11.940630059034666</v>
      </c>
      <c r="O124" s="33">
        <f t="shared" si="35"/>
        <v>343.89014570019839</v>
      </c>
      <c r="P124" s="33">
        <f t="shared" si="36"/>
        <v>265.84734750207781</v>
      </c>
      <c r="Q124" s="32">
        <f t="shared" si="37"/>
        <v>8.2305718941025781</v>
      </c>
      <c r="R124" s="42">
        <f t="shared" si="38"/>
        <v>801.66091217527014</v>
      </c>
      <c r="S124" s="42">
        <f t="shared" si="39"/>
        <v>3361.519230913641</v>
      </c>
      <c r="T124" s="42">
        <f t="shared" si="40"/>
        <v>35187.657142857141</v>
      </c>
      <c r="U124" s="32">
        <f t="shared" si="41"/>
        <v>4.8410588023931433</v>
      </c>
      <c r="V124" s="33">
        <f t="shared" si="42"/>
        <v>3.6666666666666665</v>
      </c>
      <c r="W124" s="33">
        <f t="shared" si="43"/>
        <v>9.1666666666666679</v>
      </c>
      <c r="X124" s="32">
        <f t="shared" si="44"/>
        <v>9.2308106771554801</v>
      </c>
      <c r="Y124" s="32">
        <f t="shared" si="45"/>
        <v>6.0434999999999999</v>
      </c>
      <c r="Z124" s="266" t="e">
        <f>IF(Use_BOM_DF,M124/10,MIN(0.972+(0.342*LN(Weather_Site!J127))-(0.245*LN(Weather_Site!I127)),1))</f>
        <v>#NUM!</v>
      </c>
      <c r="AA124" s="33" t="e">
        <f t="shared" si="46"/>
        <v>#NUM!</v>
      </c>
      <c r="AB124" s="33" t="e">
        <f t="shared" si="47"/>
        <v>#NUM!</v>
      </c>
      <c r="AC124" s="33" t="e">
        <f t="shared" si="48"/>
        <v>#NUM!</v>
      </c>
      <c r="AD124" s="32" t="e">
        <f t="shared" si="49"/>
        <v>#NUM!</v>
      </c>
      <c r="AE124" s="32" t="e">
        <f t="shared" si="50"/>
        <v>#NUM!</v>
      </c>
      <c r="AF124" s="42" t="e">
        <f t="shared" si="51"/>
        <v>#NUM!</v>
      </c>
      <c r="AG124" s="83">
        <f t="shared" si="52"/>
        <v>12.931772561472501</v>
      </c>
    </row>
    <row r="125" spans="1:33" x14ac:dyDescent="0.25">
      <c r="A125" s="45" t="str">
        <f>Weather_Site!A128</f>
        <v>Fri</v>
      </c>
      <c r="B125" s="46">
        <f>Weather_Site!B128</f>
        <v>44554</v>
      </c>
      <c r="C125" s="47">
        <f>Weather_Site!C128</f>
        <v>0</v>
      </c>
      <c r="D125" s="48">
        <f>Weather_Site!D128</f>
        <v>24.1</v>
      </c>
      <c r="E125" s="48">
        <f>Weather_Site!E128</f>
        <v>26</v>
      </c>
      <c r="F125" s="49">
        <f>Weather_Site!F128</f>
        <v>153</v>
      </c>
      <c r="G125" s="48">
        <f>Weather_Site!G128</f>
        <v>10</v>
      </c>
      <c r="H125" s="48">
        <f>IF(Weather_Site!M128&lt;180,Weather_Site!M128+180,Weather_Site!M128-180)</f>
        <v>333</v>
      </c>
      <c r="I125" s="172">
        <f t="shared" si="56"/>
        <v>0</v>
      </c>
      <c r="J125" s="214">
        <f t="shared" si="57"/>
        <v>3</v>
      </c>
      <c r="K125" s="48">
        <f t="shared" si="33"/>
        <v>3.3333333333333335</v>
      </c>
      <c r="L125" s="172">
        <f t="shared" si="58"/>
        <v>24</v>
      </c>
      <c r="M125" s="51">
        <f>IF(Use_BOM_DF,Weather_Site!H128,IF(0.191*(Weather_Site!K128+104)*(Weather_Site!J128+1)^1.5/(3.52*(Weather_Site!J128+1)^1.5+Weather_Site!I128-1)&gt;10, 10,0.191*(Weather_Site!K128+104)*(Weather_Site!J128+1)^1.5/(3.52*(Weather_Site!J128+1)^1.5+Weather_Site!I128-1)))</f>
        <v>7.882539682539683</v>
      </c>
      <c r="N125" s="51">
        <f t="shared" si="34"/>
        <v>11.387734730104473</v>
      </c>
      <c r="O125" s="52">
        <f t="shared" si="35"/>
        <v>327.96676022700882</v>
      </c>
      <c r="P125" s="52">
        <f t="shared" si="36"/>
        <v>259.54037092663725</v>
      </c>
      <c r="Q125" s="51">
        <f t="shared" si="37"/>
        <v>8.023567882951113</v>
      </c>
      <c r="R125" s="53">
        <f t="shared" si="38"/>
        <v>747.8717160468359</v>
      </c>
      <c r="S125" s="53">
        <f t="shared" si="39"/>
        <v>3205.8684594139481</v>
      </c>
      <c r="T125" s="53">
        <f t="shared" si="40"/>
        <v>35187.657142857141</v>
      </c>
      <c r="U125" s="51">
        <f t="shared" si="41"/>
        <v>4.8940553862420613</v>
      </c>
      <c r="V125" s="52">
        <f t="shared" si="42"/>
        <v>3.3333333333333335</v>
      </c>
      <c r="W125" s="52">
        <f t="shared" si="43"/>
        <v>8.3333333333333339</v>
      </c>
      <c r="X125" s="51">
        <f t="shared" si="44"/>
        <v>9.0118184349526818</v>
      </c>
      <c r="Y125" s="51">
        <f t="shared" si="45"/>
        <v>8.6348000000000003</v>
      </c>
      <c r="Z125" s="51" t="e">
        <f>IF(Use_BOM_DF,M125/10,MIN(0.972+(0.342*LN(Weather_Site!J128))-(0.245*LN(Weather_Site!I128)),1))</f>
        <v>#NUM!</v>
      </c>
      <c r="AA125" s="52" t="e">
        <f t="shared" si="46"/>
        <v>#NUM!</v>
      </c>
      <c r="AB125" s="52" t="e">
        <f t="shared" si="47"/>
        <v>#NUM!</v>
      </c>
      <c r="AC125" s="52" t="e">
        <f t="shared" si="48"/>
        <v>#NUM!</v>
      </c>
      <c r="AD125" s="51" t="e">
        <f t="shared" si="49"/>
        <v>#NUM!</v>
      </c>
      <c r="AE125" s="51" t="e">
        <f t="shared" si="50"/>
        <v>#NUM!</v>
      </c>
      <c r="AF125" s="53" t="e">
        <f t="shared" si="51"/>
        <v>#NUM!</v>
      </c>
      <c r="AG125" s="323">
        <f t="shared" si="52"/>
        <v>12.3471200431384</v>
      </c>
    </row>
    <row r="126" spans="1:33" x14ac:dyDescent="0.25">
      <c r="A126" s="45" t="str">
        <f>Weather_Site!A129</f>
        <v>Fri</v>
      </c>
      <c r="B126" s="46">
        <f>Weather_Site!B129</f>
        <v>44554</v>
      </c>
      <c r="C126" s="47">
        <f>Weather_Site!C129</f>
        <v>4.1666666666666664E-2</v>
      </c>
      <c r="D126" s="48">
        <f>Weather_Site!D129</f>
        <v>22.8</v>
      </c>
      <c r="E126" s="48">
        <f>Weather_Site!E129</f>
        <v>27.7</v>
      </c>
      <c r="F126" s="49">
        <f>Weather_Site!F129</f>
        <v>152</v>
      </c>
      <c r="G126" s="48">
        <f>Weather_Site!G129</f>
        <v>12</v>
      </c>
      <c r="H126" s="48">
        <f>IF(Weather_Site!M129&lt;180,Weather_Site!M129+180,Weather_Site!M129-180)</f>
        <v>332</v>
      </c>
      <c r="I126" s="172">
        <f t="shared" si="56"/>
        <v>0</v>
      </c>
      <c r="J126" s="214">
        <f t="shared" si="57"/>
        <v>3</v>
      </c>
      <c r="K126" s="48">
        <f t="shared" si="33"/>
        <v>4</v>
      </c>
      <c r="L126" s="172">
        <f t="shared" si="58"/>
        <v>24</v>
      </c>
      <c r="M126" s="51">
        <f>IF(Use_BOM_DF,Weather_Site!H129,IF(0.191*(Weather_Site!K129+104)*(Weather_Site!J129+1)^1.5/(3.52*(Weather_Site!J129+1)^1.5+Weather_Site!I129-1)&gt;10, 10,0.191*(Weather_Site!K129+104)*(Weather_Site!J129+1)^1.5/(3.52*(Weather_Site!J129+1)^1.5+Weather_Site!I129-1)))</f>
        <v>7.882539682539683</v>
      </c>
      <c r="N126" s="51">
        <f t="shared" si="34"/>
        <v>10.769810279152965</v>
      </c>
      <c r="O126" s="52">
        <f t="shared" si="35"/>
        <v>310.17053603960539</v>
      </c>
      <c r="P126" s="52">
        <f t="shared" si="36"/>
        <v>234.23438573375847</v>
      </c>
      <c r="Q126" s="51">
        <f t="shared" si="37"/>
        <v>7.7922169685148699</v>
      </c>
      <c r="R126" s="53">
        <f t="shared" si="38"/>
        <v>687.75607074178697</v>
      </c>
      <c r="S126" s="53">
        <f t="shared" si="39"/>
        <v>3031.9107272963201</v>
      </c>
      <c r="T126" s="53">
        <f t="shared" si="40"/>
        <v>35187.657142857141</v>
      </c>
      <c r="U126" s="51">
        <f t="shared" si="41"/>
        <v>5.1101693150579326</v>
      </c>
      <c r="V126" s="52">
        <f t="shared" si="42"/>
        <v>4</v>
      </c>
      <c r="W126" s="52">
        <f t="shared" si="43"/>
        <v>10</v>
      </c>
      <c r="X126" s="51">
        <f t="shared" si="44"/>
        <v>8.1331383935332813</v>
      </c>
      <c r="Y126" s="51">
        <f t="shared" si="45"/>
        <v>9.1918000000000006</v>
      </c>
      <c r="Z126" s="51" t="e">
        <f>IF(Use_BOM_DF,M126/10,MIN(0.972+(0.342*LN(Weather_Site!J129))-(0.245*LN(Weather_Site!I129)),1))</f>
        <v>#NUM!</v>
      </c>
      <c r="AA126" s="52" t="e">
        <f t="shared" si="46"/>
        <v>#NUM!</v>
      </c>
      <c r="AB126" s="52" t="e">
        <f t="shared" si="47"/>
        <v>#NUM!</v>
      </c>
      <c r="AC126" s="52" t="e">
        <f t="shared" si="48"/>
        <v>#NUM!</v>
      </c>
      <c r="AD126" s="51" t="e">
        <f t="shared" si="49"/>
        <v>#NUM!</v>
      </c>
      <c r="AE126" s="51" t="e">
        <f t="shared" si="50"/>
        <v>#NUM!</v>
      </c>
      <c r="AF126" s="53" t="e">
        <f t="shared" si="51"/>
        <v>#NUM!</v>
      </c>
      <c r="AG126" s="323">
        <f t="shared" si="52"/>
        <v>11.816291374373971</v>
      </c>
    </row>
    <row r="127" spans="1:33" x14ac:dyDescent="0.25">
      <c r="A127" s="45" t="str">
        <f>Weather_Site!A130</f>
        <v>Fri</v>
      </c>
      <c r="B127" s="46">
        <f>Weather_Site!B130</f>
        <v>44554</v>
      </c>
      <c r="C127" s="47">
        <f>Weather_Site!C130</f>
        <v>8.3333333333333329E-2</v>
      </c>
      <c r="D127" s="48">
        <f>Weather_Site!D130</f>
        <v>21.6</v>
      </c>
      <c r="E127" s="48">
        <f>Weather_Site!E130</f>
        <v>29.6</v>
      </c>
      <c r="F127" s="49">
        <f>Weather_Site!F130</f>
        <v>151</v>
      </c>
      <c r="G127" s="48">
        <f>Weather_Site!G130</f>
        <v>13</v>
      </c>
      <c r="H127" s="48">
        <f>IF(Weather_Site!M130&lt;180,Weather_Site!M130+180,Weather_Site!M130-180)</f>
        <v>331</v>
      </c>
      <c r="I127" s="172">
        <f t="shared" si="56"/>
        <v>0</v>
      </c>
      <c r="J127" s="214">
        <f t="shared" si="57"/>
        <v>3</v>
      </c>
      <c r="K127" s="48">
        <f t="shared" si="33"/>
        <v>4.333333333333333</v>
      </c>
      <c r="L127" s="172">
        <f t="shared" si="58"/>
        <v>24</v>
      </c>
      <c r="M127" s="51">
        <f>IF(Use_BOM_DF,Weather_Site!H130,IF(0.191*(Weather_Site!K130+104)*(Weather_Site!J130+1)^1.5/(3.52*(Weather_Site!J130+1)^1.5+Weather_Site!I130-1)&gt;10, 10,0.191*(Weather_Site!K130+104)*(Weather_Site!J130+1)^1.5/(3.52*(Weather_Site!J130+1)^1.5+Weather_Site!I130-1)))</f>
        <v>7.882539682539683</v>
      </c>
      <c r="N127" s="51">
        <f t="shared" si="34"/>
        <v>9.9148821447029931</v>
      </c>
      <c r="O127" s="52">
        <f t="shared" si="35"/>
        <v>285.54860576744619</v>
      </c>
      <c r="P127" s="52">
        <f t="shared" si="36"/>
        <v>210.65300685061499</v>
      </c>
      <c r="Q127" s="51">
        <f t="shared" si="37"/>
        <v>7.4721318749767995</v>
      </c>
      <c r="R127" s="53">
        <f t="shared" si="38"/>
        <v>604.58319028243318</v>
      </c>
      <c r="S127" s="53">
        <f t="shared" si="39"/>
        <v>2791.2318560144608</v>
      </c>
      <c r="T127" s="53">
        <f t="shared" si="40"/>
        <v>35187.657142857141</v>
      </c>
      <c r="U127" s="51">
        <f t="shared" si="41"/>
        <v>5.3590087416947281</v>
      </c>
      <c r="V127" s="52">
        <f t="shared" si="42"/>
        <v>4.333333333333333</v>
      </c>
      <c r="W127" s="52">
        <f t="shared" si="43"/>
        <v>10.833333333333334</v>
      </c>
      <c r="X127" s="51">
        <f t="shared" si="44"/>
        <v>7.3143405156463537</v>
      </c>
      <c r="Y127" s="51">
        <f t="shared" si="45"/>
        <v>9.7430000000000003</v>
      </c>
      <c r="Z127" s="51" t="e">
        <f>IF(Use_BOM_DF,M127/10,MIN(0.972+(0.342*LN(Weather_Site!J130))-(0.245*LN(Weather_Site!I130)),1))</f>
        <v>#NUM!</v>
      </c>
      <c r="AA127" s="52" t="e">
        <f t="shared" si="46"/>
        <v>#NUM!</v>
      </c>
      <c r="AB127" s="52" t="e">
        <f t="shared" si="47"/>
        <v>#NUM!</v>
      </c>
      <c r="AC127" s="52" t="e">
        <f t="shared" si="48"/>
        <v>#NUM!</v>
      </c>
      <c r="AD127" s="51" t="e">
        <f t="shared" si="49"/>
        <v>#NUM!</v>
      </c>
      <c r="AE127" s="51" t="e">
        <f t="shared" si="50"/>
        <v>#NUM!</v>
      </c>
      <c r="AF127" s="53" t="e">
        <f t="shared" si="51"/>
        <v>#NUM!</v>
      </c>
      <c r="AG127" s="323">
        <f t="shared" si="52"/>
        <v>10.946629359572174</v>
      </c>
    </row>
    <row r="128" spans="1:33" x14ac:dyDescent="0.25">
      <c r="A128" s="45" t="str">
        <f>Weather_Site!A131</f>
        <v>Fri</v>
      </c>
      <c r="B128" s="46">
        <f>Weather_Site!B131</f>
        <v>44554</v>
      </c>
      <c r="C128" s="47">
        <f>Weather_Site!C131</f>
        <v>0.125</v>
      </c>
      <c r="D128" s="48">
        <f>Weather_Site!D131</f>
        <v>20.3</v>
      </c>
      <c r="E128" s="48">
        <f>Weather_Site!E131</f>
        <v>32.1</v>
      </c>
      <c r="F128" s="49">
        <f>Weather_Site!F131</f>
        <v>151</v>
      </c>
      <c r="G128" s="48">
        <f>Weather_Site!G131</f>
        <v>11</v>
      </c>
      <c r="H128" s="48">
        <f>IF(Weather_Site!M131&lt;180,Weather_Site!M131+180,Weather_Site!M131-180)</f>
        <v>331</v>
      </c>
      <c r="I128" s="172">
        <f t="shared" si="56"/>
        <v>0</v>
      </c>
      <c r="J128" s="214">
        <f t="shared" si="57"/>
        <v>3</v>
      </c>
      <c r="K128" s="48">
        <f t="shared" si="33"/>
        <v>3.6666666666666665</v>
      </c>
      <c r="L128" s="172">
        <f t="shared" si="58"/>
        <v>24</v>
      </c>
      <c r="M128" s="51">
        <f>IF(Use_BOM_DF,Weather_Site!H131,IF(0.191*(Weather_Site!K131+104)*(Weather_Site!J131+1)^1.5/(3.52*(Weather_Site!J131+1)^1.5+Weather_Site!I131-1)&gt;10, 10,0.191*(Weather_Site!K131+104)*(Weather_Site!J131+1)^1.5/(3.52*(Weather_Site!J131+1)^1.5+Weather_Site!I131-1)))</f>
        <v>7.882539682539683</v>
      </c>
      <c r="N128" s="51">
        <f t="shared" si="34"/>
        <v>8.3065708920537471</v>
      </c>
      <c r="O128" s="52">
        <f t="shared" si="35"/>
        <v>239.22924169114791</v>
      </c>
      <c r="P128" s="52">
        <f t="shared" si="36"/>
        <v>184.93830120962511</v>
      </c>
      <c r="Q128" s="51">
        <f t="shared" si="37"/>
        <v>6.8699801419849216</v>
      </c>
      <c r="R128" s="53">
        <f t="shared" si="38"/>
        <v>448.11637843269767</v>
      </c>
      <c r="S128" s="53">
        <f t="shared" si="39"/>
        <v>2338.461007378663</v>
      </c>
      <c r="T128" s="53">
        <f t="shared" si="40"/>
        <v>35187.657142857141</v>
      </c>
      <c r="U128" s="51">
        <f t="shared" si="41"/>
        <v>5.7011877790927885</v>
      </c>
      <c r="V128" s="52">
        <f t="shared" si="42"/>
        <v>3.6666666666666665</v>
      </c>
      <c r="W128" s="52">
        <f t="shared" si="43"/>
        <v>9.1666666666666679</v>
      </c>
      <c r="X128" s="51">
        <f t="shared" si="44"/>
        <v>6.4214687920008728</v>
      </c>
      <c r="Y128" s="51">
        <f t="shared" si="45"/>
        <v>10.389600000000002</v>
      </c>
      <c r="Z128" s="51" t="e">
        <f>IF(Use_BOM_DF,M128/10,MIN(0.972+(0.342*LN(Weather_Site!J131))-(0.245*LN(Weather_Site!I131)),1))</f>
        <v>#NUM!</v>
      </c>
      <c r="AA128" s="52" t="e">
        <f t="shared" si="46"/>
        <v>#NUM!</v>
      </c>
      <c r="AB128" s="52" t="e">
        <f t="shared" si="47"/>
        <v>#NUM!</v>
      </c>
      <c r="AC128" s="52" t="e">
        <f t="shared" si="48"/>
        <v>#NUM!</v>
      </c>
      <c r="AD128" s="51" t="e">
        <f t="shared" si="49"/>
        <v>#NUM!</v>
      </c>
      <c r="AE128" s="51" t="e">
        <f t="shared" si="50"/>
        <v>#NUM!</v>
      </c>
      <c r="AF128" s="53" t="e">
        <f t="shared" si="51"/>
        <v>#NUM!</v>
      </c>
      <c r="AG128" s="323">
        <f t="shared" si="52"/>
        <v>9.172877289331888</v>
      </c>
    </row>
    <row r="129" spans="1:33" x14ac:dyDescent="0.25">
      <c r="A129" s="45" t="str">
        <f>Weather_Site!A132</f>
        <v>Fri</v>
      </c>
      <c r="B129" s="46">
        <f>Weather_Site!B132</f>
        <v>44554</v>
      </c>
      <c r="C129" s="47">
        <f>Weather_Site!C132</f>
        <v>0.16666666666666666</v>
      </c>
      <c r="D129" s="48">
        <f>Weather_Site!D132</f>
        <v>19.5</v>
      </c>
      <c r="E129" s="48">
        <f>Weather_Site!E132</f>
        <v>34</v>
      </c>
      <c r="F129" s="49">
        <f>Weather_Site!F132</f>
        <v>149</v>
      </c>
      <c r="G129" s="48">
        <f>Weather_Site!G132</f>
        <v>10</v>
      </c>
      <c r="H129" s="48">
        <f>IF(Weather_Site!M132&lt;180,Weather_Site!M132+180,Weather_Site!M132-180)</f>
        <v>329</v>
      </c>
      <c r="I129" s="172">
        <f t="shared" si="56"/>
        <v>0</v>
      </c>
      <c r="J129" s="214">
        <f t="shared" si="57"/>
        <v>3</v>
      </c>
      <c r="K129" s="48">
        <f t="shared" si="33"/>
        <v>3.3333333333333335</v>
      </c>
      <c r="L129" s="172">
        <f t="shared" si="58"/>
        <v>24</v>
      </c>
      <c r="M129" s="51">
        <f>IF(Use_BOM_DF,Weather_Site!H132,IF(0.191*(Weather_Site!K132+104)*(Weather_Site!J132+1)^1.5/(3.52*(Weather_Site!J132+1)^1.5+Weather_Site!I132-1)&gt;10, 10,0.191*(Weather_Site!K132+104)*(Weather_Site!J132+1)^1.5/(3.52*(Weather_Site!J132+1)^1.5+Weather_Site!I132-1)))</f>
        <v>7.882539682539683</v>
      </c>
      <c r="N129" s="51">
        <f t="shared" si="34"/>
        <v>7.3968695382633847</v>
      </c>
      <c r="O129" s="52">
        <f t="shared" si="35"/>
        <v>213.02984270198544</v>
      </c>
      <c r="P129" s="52">
        <f t="shared" si="36"/>
        <v>168.58368316059384</v>
      </c>
      <c r="Q129" s="51">
        <f t="shared" si="37"/>
        <v>6.5293879551258094</v>
      </c>
      <c r="R129" s="53">
        <f t="shared" si="38"/>
        <v>359.61480864730686</v>
      </c>
      <c r="S129" s="53">
        <f t="shared" si="39"/>
        <v>2082.3624112379412</v>
      </c>
      <c r="T129" s="53">
        <f t="shared" si="40"/>
        <v>35187.657142857141</v>
      </c>
      <c r="U129" s="51">
        <f t="shared" si="41"/>
        <v>5.9717313045759655</v>
      </c>
      <c r="V129" s="52">
        <f t="shared" si="42"/>
        <v>3.3333333333333335</v>
      </c>
      <c r="W129" s="52">
        <f t="shared" si="43"/>
        <v>8.3333333333333339</v>
      </c>
      <c r="X129" s="51">
        <f t="shared" si="44"/>
        <v>5.8536001097428416</v>
      </c>
      <c r="Y129" s="51">
        <f t="shared" si="45"/>
        <v>10.828000000000001</v>
      </c>
      <c r="Z129" s="51" t="e">
        <f>IF(Use_BOM_DF,M129/10,MIN(0.972+(0.342*LN(Weather_Site!J132))-(0.245*LN(Weather_Site!I132)),1))</f>
        <v>#NUM!</v>
      </c>
      <c r="AA129" s="52" t="e">
        <f t="shared" si="46"/>
        <v>#NUM!</v>
      </c>
      <c r="AB129" s="52" t="e">
        <f t="shared" si="47"/>
        <v>#NUM!</v>
      </c>
      <c r="AC129" s="52" t="e">
        <f t="shared" si="48"/>
        <v>#NUM!</v>
      </c>
      <c r="AD129" s="51" t="e">
        <f t="shared" si="49"/>
        <v>#NUM!</v>
      </c>
      <c r="AE129" s="51" t="e">
        <f t="shared" si="50"/>
        <v>#NUM!</v>
      </c>
      <c r="AF129" s="53" t="e">
        <f t="shared" si="51"/>
        <v>#NUM!</v>
      </c>
      <c r="AG129" s="323">
        <f t="shared" si="52"/>
        <v>8.1294240020397321</v>
      </c>
    </row>
    <row r="130" spans="1:33" x14ac:dyDescent="0.25">
      <c r="A130" s="23" t="str">
        <f>Weather_Site!A133</f>
        <v>Fri</v>
      </c>
      <c r="B130" s="24">
        <f>Weather_Site!B133</f>
        <v>44554</v>
      </c>
      <c r="C130" s="25">
        <f>Weather_Site!C133</f>
        <v>0.20833333333333334</v>
      </c>
      <c r="D130" s="27">
        <f>Weather_Site!D133</f>
        <v>18.8</v>
      </c>
      <c r="E130" s="27">
        <f>Weather_Site!E133</f>
        <v>34.5</v>
      </c>
      <c r="F130" s="28">
        <f>Weather_Site!F133</f>
        <v>145</v>
      </c>
      <c r="G130" s="27">
        <f>Weather_Site!G133</f>
        <v>11</v>
      </c>
      <c r="H130" s="27">
        <f>IF(Weather_Site!M133&lt;180,Weather_Site!M133+180,Weather_Site!M133-180)</f>
        <v>325</v>
      </c>
      <c r="I130" s="172">
        <f t="shared" si="56"/>
        <v>0</v>
      </c>
      <c r="J130" s="214">
        <f t="shared" si="57"/>
        <v>3</v>
      </c>
      <c r="K130" s="27">
        <f t="shared" si="33"/>
        <v>3.6666666666666665</v>
      </c>
      <c r="L130" s="172">
        <f t="shared" si="58"/>
        <v>24</v>
      </c>
      <c r="M130" s="32">
        <f>IF(Use_BOM_DF,Weather_Site!H133,IF(0.191*(Weather_Site!K133+104)*(Weather_Site!J133+1)^1.5/(3.52*(Weather_Site!J133+1)^1.5+Weather_Site!I133-1)&gt;10, 10,0.191*(Weather_Site!K133+104)*(Weather_Site!J133+1)^1.5/(3.52*(Weather_Site!J133+1)^1.5+Weather_Site!I133-1)))</f>
        <v>7.882539682539683</v>
      </c>
      <c r="N130" s="32">
        <f t="shared" si="34"/>
        <v>7.2684777035569343</v>
      </c>
      <c r="O130" s="33">
        <f t="shared" si="35"/>
        <v>209.33215786243969</v>
      </c>
      <c r="P130" s="33">
        <f t="shared" si="36"/>
        <v>161.82609362447837</v>
      </c>
      <c r="Q130" s="32">
        <f t="shared" si="37"/>
        <v>6.4813180522117158</v>
      </c>
      <c r="R130" s="42">
        <f t="shared" si="38"/>
        <v>347.12402925932128</v>
      </c>
      <c r="S130" s="42">
        <f t="shared" si="39"/>
        <v>2046.2176165893991</v>
      </c>
      <c r="T130" s="42">
        <f t="shared" si="40"/>
        <v>35187.657142857141</v>
      </c>
      <c r="U130" s="32">
        <f t="shared" si="41"/>
        <v>6.0800097046048176</v>
      </c>
      <c r="V130" s="33">
        <f t="shared" si="42"/>
        <v>3.6666666666666665</v>
      </c>
      <c r="W130" s="33">
        <f t="shared" si="43"/>
        <v>9.1666666666666679</v>
      </c>
      <c r="X130" s="32">
        <f t="shared" si="44"/>
        <v>5.6189615841832774</v>
      </c>
      <c r="Y130" s="32">
        <f t="shared" si="45"/>
        <v>11.0814</v>
      </c>
      <c r="Z130" s="266" t="e">
        <f>IF(Use_BOM_DF,M130/10,MIN(0.972+(0.342*LN(Weather_Site!J133))-(0.245*LN(Weather_Site!I133)),1))</f>
        <v>#NUM!</v>
      </c>
      <c r="AA130" s="33" t="e">
        <f t="shared" si="46"/>
        <v>#NUM!</v>
      </c>
      <c r="AB130" s="33" t="e">
        <f t="shared" si="47"/>
        <v>#NUM!</v>
      </c>
      <c r="AC130" s="33" t="e">
        <f t="shared" si="48"/>
        <v>#NUM!</v>
      </c>
      <c r="AD130" s="32" t="e">
        <f t="shared" si="49"/>
        <v>#NUM!</v>
      </c>
      <c r="AE130" s="32" t="e">
        <f t="shared" si="50"/>
        <v>#NUM!</v>
      </c>
      <c r="AF130" s="42" t="e">
        <f t="shared" si="51"/>
        <v>#NUM!</v>
      </c>
      <c r="AG130" s="83">
        <f t="shared" si="52"/>
        <v>8.0137139676398803</v>
      </c>
    </row>
    <row r="131" spans="1:33" x14ac:dyDescent="0.25">
      <c r="A131" s="23" t="str">
        <f>Weather_Site!A134</f>
        <v>Fri</v>
      </c>
      <c r="B131" s="24">
        <f>Weather_Site!B134</f>
        <v>44554</v>
      </c>
      <c r="C131" s="25">
        <f>Weather_Site!C134</f>
        <v>0.25</v>
      </c>
      <c r="D131" s="27">
        <f>Weather_Site!D134</f>
        <v>18.100000000000001</v>
      </c>
      <c r="E131" s="27">
        <f>Weather_Site!E134</f>
        <v>37.299999999999997</v>
      </c>
      <c r="F131" s="28">
        <f>Weather_Site!F134</f>
        <v>142</v>
      </c>
      <c r="G131" s="27">
        <f>Weather_Site!G134</f>
        <v>12</v>
      </c>
      <c r="H131" s="27">
        <f>IF(Weather_Site!M134&lt;180,Weather_Site!M134+180,Weather_Site!M134-180)</f>
        <v>322</v>
      </c>
      <c r="I131" s="172">
        <f t="shared" si="56"/>
        <v>0</v>
      </c>
      <c r="J131" s="214">
        <f t="shared" si="57"/>
        <v>3</v>
      </c>
      <c r="K131" s="27">
        <f t="shared" si="33"/>
        <v>4</v>
      </c>
      <c r="L131" s="172">
        <f t="shared" si="58"/>
        <v>24</v>
      </c>
      <c r="M131" s="32">
        <f>IF(Use_BOM_DF,Weather_Site!H134,IF(0.191*(Weather_Site!K134+104)*(Weather_Site!J134+1)^1.5/(3.52*(Weather_Site!J134+1)^1.5+Weather_Site!I134-1)&gt;10, 10,0.191*(Weather_Site!K134+104)*(Weather_Site!J134+1)^1.5/(3.52*(Weather_Site!J134+1)^1.5+Weather_Site!I134-1)))</f>
        <v>7.882539682539683</v>
      </c>
      <c r="N131" s="32">
        <f t="shared" si="34"/>
        <v>6.5974741770414278</v>
      </c>
      <c r="O131" s="33">
        <f t="shared" si="35"/>
        <v>190.00725629879312</v>
      </c>
      <c r="P131" s="33">
        <f t="shared" si="36"/>
        <v>143.48955749433807</v>
      </c>
      <c r="Q131" s="32">
        <f t="shared" si="37"/>
        <v>6.2300943318843096</v>
      </c>
      <c r="R131" s="42">
        <f t="shared" si="38"/>
        <v>281.84451177732319</v>
      </c>
      <c r="S131" s="42">
        <f t="shared" si="39"/>
        <v>1857.3170939837187</v>
      </c>
      <c r="T131" s="42">
        <f t="shared" si="40"/>
        <v>35187.657142857141</v>
      </c>
      <c r="U131" s="32">
        <f t="shared" si="41"/>
        <v>6.4888657620820291</v>
      </c>
      <c r="V131" s="33">
        <f t="shared" si="42"/>
        <v>4</v>
      </c>
      <c r="W131" s="33">
        <f t="shared" si="43"/>
        <v>10</v>
      </c>
      <c r="X131" s="32">
        <f t="shared" si="44"/>
        <v>4.9822763018867384</v>
      </c>
      <c r="Y131" s="32">
        <f t="shared" si="45"/>
        <v>11.592400000000001</v>
      </c>
      <c r="Z131" s="266" t="e">
        <f>IF(Use_BOM_DF,M131/10,MIN(0.972+(0.342*LN(Weather_Site!J134))-(0.245*LN(Weather_Site!I134)),1))</f>
        <v>#NUM!</v>
      </c>
      <c r="AA131" s="33" t="e">
        <f t="shared" si="46"/>
        <v>#NUM!</v>
      </c>
      <c r="AB131" s="33" t="e">
        <f t="shared" si="47"/>
        <v>#NUM!</v>
      </c>
      <c r="AC131" s="33" t="e">
        <f t="shared" si="48"/>
        <v>#NUM!</v>
      </c>
      <c r="AD131" s="32" t="e">
        <f t="shared" si="49"/>
        <v>#NUM!</v>
      </c>
      <c r="AE131" s="32" t="e">
        <f t="shared" si="50"/>
        <v>#NUM!</v>
      </c>
      <c r="AF131" s="42" t="e">
        <f t="shared" si="51"/>
        <v>#NUM!</v>
      </c>
      <c r="AG131" s="83">
        <f t="shared" si="52"/>
        <v>7.1555140963020714</v>
      </c>
    </row>
    <row r="132" spans="1:33" x14ac:dyDescent="0.25">
      <c r="A132" s="23" t="str">
        <f>Weather_Site!A135</f>
        <v>Fri</v>
      </c>
      <c r="B132" s="24">
        <f>Weather_Site!B135</f>
        <v>44554</v>
      </c>
      <c r="C132" s="25">
        <f>Weather_Site!C135</f>
        <v>0.29166666666666669</v>
      </c>
      <c r="D132" s="27">
        <f>Weather_Site!D135</f>
        <v>19.2</v>
      </c>
      <c r="E132" s="27">
        <f>Weather_Site!E135</f>
        <v>35.799999999999997</v>
      </c>
      <c r="F132" s="28">
        <f>Weather_Site!F135</f>
        <v>141</v>
      </c>
      <c r="G132" s="27">
        <f>Weather_Site!G135</f>
        <v>14</v>
      </c>
      <c r="H132" s="27">
        <f>IF(Weather_Site!M135&lt;180,Weather_Site!M135+180,Weather_Site!M135-180)</f>
        <v>321</v>
      </c>
      <c r="I132" s="172">
        <f t="shared" si="56"/>
        <v>0</v>
      </c>
      <c r="J132" s="214">
        <f t="shared" si="57"/>
        <v>3</v>
      </c>
      <c r="K132" s="27">
        <f t="shared" si="33"/>
        <v>4.666666666666667</v>
      </c>
      <c r="L132" s="172">
        <f t="shared" si="58"/>
        <v>24</v>
      </c>
      <c r="M132" s="32">
        <f>IF(Use_BOM_DF,Weather_Site!H135,IF(0.191*(Weather_Site!K135+104)*(Weather_Site!J135+1)^1.5/(3.52*(Weather_Site!J135+1)^1.5+Weather_Site!I135-1)&gt;10, 10,0.191*(Weather_Site!K135+104)*(Weather_Site!J135+1)^1.5/(3.52*(Weather_Site!J135+1)^1.5+Weather_Site!I135-1)))</f>
        <v>7.882539682539683</v>
      </c>
      <c r="N132" s="32">
        <f t="shared" si="34"/>
        <v>7.5565661597712586</v>
      </c>
      <c r="O132" s="33">
        <f t="shared" si="35"/>
        <v>217.62910540141223</v>
      </c>
      <c r="P132" s="33">
        <f t="shared" si="36"/>
        <v>156.8346808699709</v>
      </c>
      <c r="Q132" s="32">
        <f t="shared" si="37"/>
        <v>6.5891783702183595</v>
      </c>
      <c r="R132" s="42">
        <f t="shared" si="38"/>
        <v>375.15111804597058</v>
      </c>
      <c r="S132" s="42">
        <f t="shared" si="39"/>
        <v>2127.3201112635343</v>
      </c>
      <c r="T132" s="42">
        <f t="shared" si="40"/>
        <v>35187.657142857141</v>
      </c>
      <c r="U132" s="32">
        <f t="shared" si="41"/>
        <v>6.2118078312890566</v>
      </c>
      <c r="V132" s="33">
        <f t="shared" si="42"/>
        <v>4.666666666666667</v>
      </c>
      <c r="W132" s="33">
        <f t="shared" si="43"/>
        <v>11.666666666666668</v>
      </c>
      <c r="X132" s="32">
        <f t="shared" si="44"/>
        <v>5.4456486413184342</v>
      </c>
      <c r="Y132" s="32">
        <f t="shared" si="45"/>
        <v>11.1142</v>
      </c>
      <c r="Z132" s="266" t="e">
        <f>IF(Use_BOM_DF,M132/10,MIN(0.972+(0.342*LN(Weather_Site!J135))-(0.245*LN(Weather_Site!I135)),1))</f>
        <v>#NUM!</v>
      </c>
      <c r="AA132" s="33" t="e">
        <f t="shared" si="46"/>
        <v>#NUM!</v>
      </c>
      <c r="AB132" s="33" t="e">
        <f t="shared" si="47"/>
        <v>#NUM!</v>
      </c>
      <c r="AC132" s="33" t="e">
        <f t="shared" si="48"/>
        <v>#NUM!</v>
      </c>
      <c r="AD132" s="32" t="e">
        <f t="shared" si="49"/>
        <v>#NUM!</v>
      </c>
      <c r="AE132" s="32" t="e">
        <f t="shared" si="50"/>
        <v>#NUM!</v>
      </c>
      <c r="AF132" s="42" t="e">
        <f t="shared" si="51"/>
        <v>#NUM!</v>
      </c>
      <c r="AG132" s="83">
        <f t="shared" si="52"/>
        <v>8.2179303656557749</v>
      </c>
    </row>
    <row r="133" spans="1:33" x14ac:dyDescent="0.25">
      <c r="A133" s="23" t="str">
        <f>Weather_Site!A136</f>
        <v>Fri</v>
      </c>
      <c r="B133" s="24">
        <f>Weather_Site!B136</f>
        <v>44554</v>
      </c>
      <c r="C133" s="25">
        <f>Weather_Site!C136</f>
        <v>0.33333333333333331</v>
      </c>
      <c r="D133" s="27">
        <f>Weather_Site!D136</f>
        <v>22</v>
      </c>
      <c r="E133" s="27">
        <f>Weather_Site!E136</f>
        <v>31.5</v>
      </c>
      <c r="F133" s="28">
        <f>Weather_Site!F136</f>
        <v>138</v>
      </c>
      <c r="G133" s="27">
        <f>Weather_Site!G136</f>
        <v>19</v>
      </c>
      <c r="H133" s="27">
        <f>IF(Weather_Site!M136&lt;180,Weather_Site!M136+180,Weather_Site!M136-180)</f>
        <v>318</v>
      </c>
      <c r="I133" s="172">
        <f t="shared" si="56"/>
        <v>0</v>
      </c>
      <c r="J133" s="214">
        <f t="shared" si="57"/>
        <v>3</v>
      </c>
      <c r="K133" s="27">
        <f t="shared" si="33"/>
        <v>6.333333333333333</v>
      </c>
      <c r="L133" s="172">
        <f t="shared" si="58"/>
        <v>24</v>
      </c>
      <c r="M133" s="32">
        <f>IF(Use_BOM_DF,Weather_Site!H136,IF(0.191*(Weather_Site!K136+104)*(Weather_Site!J136+1)^1.5/(3.52*(Weather_Site!J136+1)^1.5+Weather_Site!I136-1)&gt;10, 10,0.191*(Weather_Site!K136+104)*(Weather_Site!J136+1)^1.5/(3.52*(Weather_Site!J136+1)^1.5+Weather_Site!I136-1)))</f>
        <v>7.882539682539683</v>
      </c>
      <c r="N133" s="32">
        <f t="shared" si="34"/>
        <v>10.83094023992747</v>
      </c>
      <c r="O133" s="33">
        <f t="shared" si="35"/>
        <v>311.93107890991109</v>
      </c>
      <c r="P133" s="33">
        <f t="shared" si="36"/>
        <v>199.97298101112264</v>
      </c>
      <c r="Q133" s="32">
        <f t="shared" si="37"/>
        <v>7.8151040258288447</v>
      </c>
      <c r="R133" s="42">
        <f t="shared" si="38"/>
        <v>693.70318455767983</v>
      </c>
      <c r="S133" s="42">
        <f t="shared" si="39"/>
        <v>3049.1199983073598</v>
      </c>
      <c r="T133" s="42">
        <f t="shared" si="40"/>
        <v>35187.657142857141</v>
      </c>
      <c r="U133" s="32">
        <f t="shared" si="41"/>
        <v>5.5351620116456202</v>
      </c>
      <c r="V133" s="33">
        <f t="shared" si="42"/>
        <v>6.333333333333333</v>
      </c>
      <c r="W133" s="33">
        <f t="shared" si="43"/>
        <v>15.833333333333334</v>
      </c>
      <c r="X133" s="32">
        <f t="shared" si="44"/>
        <v>6.9435062851084259</v>
      </c>
      <c r="Y133" s="32">
        <f t="shared" si="45"/>
        <v>9.843</v>
      </c>
      <c r="Z133" s="266" t="e">
        <f>IF(Use_BOM_DF,M133/10,MIN(0.972+(0.342*LN(Weather_Site!J136))-(0.245*LN(Weather_Site!I136)),1))</f>
        <v>#NUM!</v>
      </c>
      <c r="AA133" s="33" t="e">
        <f t="shared" si="46"/>
        <v>#NUM!</v>
      </c>
      <c r="AB133" s="33" t="e">
        <f t="shared" si="47"/>
        <v>#NUM!</v>
      </c>
      <c r="AC133" s="33" t="e">
        <f t="shared" si="48"/>
        <v>#NUM!</v>
      </c>
      <c r="AD133" s="32" t="e">
        <f t="shared" si="49"/>
        <v>#NUM!</v>
      </c>
      <c r="AE133" s="32" t="e">
        <f t="shared" si="50"/>
        <v>#NUM!</v>
      </c>
      <c r="AF133" s="42" t="e">
        <f t="shared" si="51"/>
        <v>#NUM!</v>
      </c>
      <c r="AG133" s="83">
        <f t="shared" si="52"/>
        <v>11.769527518370813</v>
      </c>
    </row>
    <row r="134" spans="1:33" x14ac:dyDescent="0.25">
      <c r="A134" s="23" t="str">
        <f>Weather_Site!A137</f>
        <v>Fri</v>
      </c>
      <c r="B134" s="24">
        <f>Weather_Site!B137</f>
        <v>44554</v>
      </c>
      <c r="C134" s="25">
        <f>Weather_Site!C137</f>
        <v>0.375</v>
      </c>
      <c r="D134" s="27">
        <f>Weather_Site!D137</f>
        <v>24.3</v>
      </c>
      <c r="E134" s="27">
        <f>Weather_Site!E137</f>
        <v>28</v>
      </c>
      <c r="F134" s="28">
        <f>Weather_Site!F137</f>
        <v>136</v>
      </c>
      <c r="G134" s="27">
        <f>Weather_Site!G137</f>
        <v>12</v>
      </c>
      <c r="H134" s="27">
        <f>IF(Weather_Site!M137&lt;180,Weather_Site!M137+180,Weather_Site!M137-180)</f>
        <v>316</v>
      </c>
      <c r="I134" s="172">
        <f t="shared" si="56"/>
        <v>0</v>
      </c>
      <c r="J134" s="214">
        <f t="shared" si="57"/>
        <v>3</v>
      </c>
      <c r="K134" s="27">
        <f t="shared" si="33"/>
        <v>4</v>
      </c>
      <c r="L134" s="172">
        <f t="shared" si="58"/>
        <v>24</v>
      </c>
      <c r="M134" s="32">
        <f>IF(Use_BOM_DF,Weather_Site!H137,IF(0.191*(Weather_Site!K137+104)*(Weather_Site!J137+1)^1.5/(3.52*(Weather_Site!J137+1)^1.5+Weather_Site!I137-1)&gt;10, 10,0.191*(Weather_Site!K137+104)*(Weather_Site!J137+1)^1.5/(3.52*(Weather_Site!J137+1)^1.5+Weather_Site!I137-1)))</f>
        <v>7.882539682539683</v>
      </c>
      <c r="N134" s="32">
        <f t="shared" si="34"/>
        <v>11.21325852830328</v>
      </c>
      <c r="O134" s="33">
        <f t="shared" si="35"/>
        <v>322.94184561513447</v>
      </c>
      <c r="P134" s="33">
        <f t="shared" si="36"/>
        <v>243.87901507746162</v>
      </c>
      <c r="Q134" s="32">
        <f t="shared" si="37"/>
        <v>7.9582439929967475</v>
      </c>
      <c r="R134" s="42">
        <f t="shared" si="38"/>
        <v>730.89755448792425</v>
      </c>
      <c r="S134" s="42">
        <f t="shared" si="39"/>
        <v>3156.7500205382953</v>
      </c>
      <c r="T134" s="42">
        <f t="shared" si="40"/>
        <v>35187.657142857141</v>
      </c>
      <c r="U134" s="32">
        <f t="shared" si="41"/>
        <v>5.0680120500459722</v>
      </c>
      <c r="V134" s="33">
        <f t="shared" si="42"/>
        <v>4</v>
      </c>
      <c r="W134" s="33">
        <f t="shared" si="43"/>
        <v>10</v>
      </c>
      <c r="X134" s="32">
        <f t="shared" si="44"/>
        <v>8.4680213568563065</v>
      </c>
      <c r="Y134" s="32">
        <f t="shared" si="45"/>
        <v>8.8024000000000004</v>
      </c>
      <c r="Z134" s="266" t="e">
        <f>IF(Use_BOM_DF,M134/10,MIN(0.972+(0.342*LN(Weather_Site!J137))-(0.245*LN(Weather_Site!I137)),1))</f>
        <v>#NUM!</v>
      </c>
      <c r="AA134" s="33" t="e">
        <f t="shared" si="46"/>
        <v>#NUM!</v>
      </c>
      <c r="AB134" s="33" t="e">
        <f t="shared" si="47"/>
        <v>#NUM!</v>
      </c>
      <c r="AC134" s="33" t="e">
        <f t="shared" si="48"/>
        <v>#NUM!</v>
      </c>
      <c r="AD134" s="32" t="e">
        <f t="shared" si="49"/>
        <v>#NUM!</v>
      </c>
      <c r="AE134" s="32" t="e">
        <f t="shared" si="50"/>
        <v>#NUM!</v>
      </c>
      <c r="AF134" s="42" t="e">
        <f t="shared" si="51"/>
        <v>#NUM!</v>
      </c>
      <c r="AG134" s="83">
        <f t="shared" si="52"/>
        <v>12.023648143728989</v>
      </c>
    </row>
    <row r="135" spans="1:33" x14ac:dyDescent="0.25">
      <c r="A135" s="23" t="str">
        <f>Weather_Site!A138</f>
        <v>Fri</v>
      </c>
      <c r="B135" s="24">
        <f>Weather_Site!B138</f>
        <v>44554</v>
      </c>
      <c r="C135" s="25">
        <f>Weather_Site!C138</f>
        <v>0.41666666666666669</v>
      </c>
      <c r="D135" s="27">
        <f>Weather_Site!D138</f>
        <v>26.9</v>
      </c>
      <c r="E135" s="27">
        <f>Weather_Site!E138</f>
        <v>23.2</v>
      </c>
      <c r="F135" s="28">
        <f>Weather_Site!F138</f>
        <v>138</v>
      </c>
      <c r="G135" s="27">
        <f>Weather_Site!G138</f>
        <v>16</v>
      </c>
      <c r="H135" s="27">
        <f>IF(Weather_Site!M138&lt;180,Weather_Site!M138+180,Weather_Site!M138-180)</f>
        <v>318</v>
      </c>
      <c r="I135" s="172">
        <f t="shared" si="56"/>
        <v>0</v>
      </c>
      <c r="J135" s="214">
        <f t="shared" si="57"/>
        <v>3</v>
      </c>
      <c r="K135" s="27">
        <f t="shared" si="33"/>
        <v>5.333333333333333</v>
      </c>
      <c r="L135" s="172">
        <f t="shared" si="58"/>
        <v>24</v>
      </c>
      <c r="M135" s="32">
        <f>IF(Use_BOM_DF,Weather_Site!H138,IF(0.191*(Weather_Site!K138+104)*(Weather_Site!J138+1)^1.5/(3.52*(Weather_Site!J138+1)^1.5+Weather_Site!I138-1)&gt;10, 10,0.191*(Weather_Site!K138+104)*(Weather_Site!J138+1)^1.5/(3.52*(Weather_Site!J138+1)^1.5+Weather_Site!I138-1)))</f>
        <v>7.882539682539683</v>
      </c>
      <c r="N135" s="32">
        <f t="shared" si="34"/>
        <v>15.865974938971435</v>
      </c>
      <c r="O135" s="33">
        <f t="shared" si="35"/>
        <v>456.9400782423773</v>
      </c>
      <c r="P135" s="33">
        <f t="shared" si="36"/>
        <v>314.23850337629989</v>
      </c>
      <c r="Q135" s="32">
        <f t="shared" si="37"/>
        <v>9.7002210171509056</v>
      </c>
      <c r="R135" s="42">
        <f t="shared" si="38"/>
        <v>1183.5435843027503</v>
      </c>
      <c r="S135" s="42">
        <f t="shared" si="39"/>
        <v>4466.5800389814685</v>
      </c>
      <c r="T135" s="42">
        <f t="shared" si="40"/>
        <v>35187.657142857141</v>
      </c>
      <c r="U135" s="32">
        <f t="shared" si="41"/>
        <v>4.5493117097105094</v>
      </c>
      <c r="V135" s="33">
        <f t="shared" si="42"/>
        <v>5.333333333333333</v>
      </c>
      <c r="W135" s="33">
        <f t="shared" si="43"/>
        <v>13.333333333333334</v>
      </c>
      <c r="X135" s="32">
        <f t="shared" si="44"/>
        <v>10.911059145010414</v>
      </c>
      <c r="Y135" s="32">
        <f t="shared" si="45"/>
        <v>7.531600000000001</v>
      </c>
      <c r="Z135" s="266" t="e">
        <f>IF(Use_BOM_DF,M135/10,MIN(0.972+(0.342*LN(Weather_Site!J138))-(0.245*LN(Weather_Site!I138)),1))</f>
        <v>#NUM!</v>
      </c>
      <c r="AA135" s="33" t="e">
        <f t="shared" si="46"/>
        <v>#NUM!</v>
      </c>
      <c r="AB135" s="33" t="e">
        <f t="shared" si="47"/>
        <v>#NUM!</v>
      </c>
      <c r="AC135" s="33" t="e">
        <f t="shared" si="48"/>
        <v>#NUM!</v>
      </c>
      <c r="AD135" s="32" t="e">
        <f t="shared" si="49"/>
        <v>#NUM!</v>
      </c>
      <c r="AE135" s="32" t="e">
        <f t="shared" si="50"/>
        <v>#NUM!</v>
      </c>
      <c r="AF135" s="42" t="e">
        <f t="shared" si="51"/>
        <v>#NUM!</v>
      </c>
      <c r="AG135" s="83">
        <f t="shared" si="52"/>
        <v>16.563774317516671</v>
      </c>
    </row>
    <row r="136" spans="1:33" x14ac:dyDescent="0.25">
      <c r="A136" s="23" t="str">
        <f>Weather_Site!A139</f>
        <v>Fri</v>
      </c>
      <c r="B136" s="24">
        <f>Weather_Site!B139</f>
        <v>44554</v>
      </c>
      <c r="C136" s="25">
        <f>Weather_Site!C139</f>
        <v>0.45833333333333331</v>
      </c>
      <c r="D136" s="27">
        <f>Weather_Site!D139</f>
        <v>28.8</v>
      </c>
      <c r="E136" s="27">
        <f>Weather_Site!E139</f>
        <v>20.399999999999999</v>
      </c>
      <c r="F136" s="28">
        <f>Weather_Site!F139</f>
        <v>136</v>
      </c>
      <c r="G136" s="27">
        <f>Weather_Site!G139</f>
        <v>13</v>
      </c>
      <c r="H136" s="27">
        <f>IF(Weather_Site!M139&lt;180,Weather_Site!M139+180,Weather_Site!M139-180)</f>
        <v>316</v>
      </c>
      <c r="I136" s="172">
        <f t="shared" si="56"/>
        <v>0</v>
      </c>
      <c r="J136" s="214">
        <f t="shared" si="57"/>
        <v>3</v>
      </c>
      <c r="K136" s="27">
        <f t="shared" si="33"/>
        <v>4.333333333333333</v>
      </c>
      <c r="L136" s="172">
        <f t="shared" si="58"/>
        <v>24</v>
      </c>
      <c r="M136" s="32">
        <f>IF(Use_BOM_DF,Weather_Site!H139,IF(0.191*(Weather_Site!K139+104)*(Weather_Site!J139+1)^1.5/(3.52*(Weather_Site!J139+1)^1.5+Weather_Site!I139-1)&gt;10, 10,0.191*(Weather_Site!K139+104)*(Weather_Site!J139+1)^1.5/(3.52*(Weather_Site!J139+1)^1.5+Weather_Site!I139-1)))</f>
        <v>7.882539682539683</v>
      </c>
      <c r="N136" s="32">
        <f t="shared" si="34"/>
        <v>17.37090838933657</v>
      </c>
      <c r="O136" s="33">
        <f t="shared" si="35"/>
        <v>500.28216161289316</v>
      </c>
      <c r="P136" s="33">
        <f t="shared" si="36"/>
        <v>369.06480889389707</v>
      </c>
      <c r="Q136" s="32">
        <f t="shared" si="37"/>
        <v>10.26366810096761</v>
      </c>
      <c r="R136" s="42">
        <f t="shared" si="38"/>
        <v>1329.9531419283533</v>
      </c>
      <c r="S136" s="42">
        <f t="shared" si="39"/>
        <v>4890.2480288309589</v>
      </c>
      <c r="T136" s="42">
        <f t="shared" si="40"/>
        <v>35187.657142857141</v>
      </c>
      <c r="U136" s="32">
        <f t="shared" si="41"/>
        <v>4.2768696137253412</v>
      </c>
      <c r="V136" s="33">
        <f t="shared" si="42"/>
        <v>4.333333333333333</v>
      </c>
      <c r="W136" s="33">
        <f t="shared" si="43"/>
        <v>10.833333333333334</v>
      </c>
      <c r="X136" s="32">
        <f t="shared" si="44"/>
        <v>12.814750308815873</v>
      </c>
      <c r="Y136" s="32">
        <f t="shared" si="45"/>
        <v>6.6822000000000008</v>
      </c>
      <c r="Z136" s="266" t="e">
        <f>IF(Use_BOM_DF,M136/10,MIN(0.972+(0.342*LN(Weather_Site!J139))-(0.245*LN(Weather_Site!I139)),1))</f>
        <v>#NUM!</v>
      </c>
      <c r="AA136" s="33" t="e">
        <f t="shared" si="46"/>
        <v>#NUM!</v>
      </c>
      <c r="AB136" s="33" t="e">
        <f t="shared" si="47"/>
        <v>#NUM!</v>
      </c>
      <c r="AC136" s="33" t="e">
        <f t="shared" si="48"/>
        <v>#NUM!</v>
      </c>
      <c r="AD136" s="32" t="e">
        <f t="shared" si="49"/>
        <v>#NUM!</v>
      </c>
      <c r="AE136" s="32" t="e">
        <f t="shared" si="50"/>
        <v>#NUM!</v>
      </c>
      <c r="AF136" s="42" t="e">
        <f t="shared" si="51"/>
        <v>#NUM!</v>
      </c>
      <c r="AG136" s="83">
        <f t="shared" si="52"/>
        <v>17.578959650167722</v>
      </c>
    </row>
    <row r="137" spans="1:33" x14ac:dyDescent="0.25">
      <c r="A137" s="23" t="str">
        <f>Weather_Site!A140</f>
        <v>Fri</v>
      </c>
      <c r="B137" s="24">
        <f>Weather_Site!B140</f>
        <v>44554</v>
      </c>
      <c r="C137" s="25">
        <f>Weather_Site!C140</f>
        <v>0.5</v>
      </c>
      <c r="D137" s="27">
        <f>Weather_Site!D140</f>
        <v>30.8</v>
      </c>
      <c r="E137" s="27">
        <f>Weather_Site!E140</f>
        <v>17.600000000000001</v>
      </c>
      <c r="F137" s="28">
        <f>Weather_Site!F140</f>
        <v>141</v>
      </c>
      <c r="G137" s="27">
        <f>Weather_Site!G140</f>
        <v>13</v>
      </c>
      <c r="H137" s="27">
        <f>IF(Weather_Site!M140&lt;180,Weather_Site!M140+180,Weather_Site!M140-180)</f>
        <v>321</v>
      </c>
      <c r="I137" s="172">
        <f t="shared" si="56"/>
        <v>0</v>
      </c>
      <c r="J137" s="214">
        <f t="shared" si="57"/>
        <v>3</v>
      </c>
      <c r="K137" s="27">
        <f t="shared" si="33"/>
        <v>4.333333333333333</v>
      </c>
      <c r="L137" s="172">
        <f t="shared" si="58"/>
        <v>24</v>
      </c>
      <c r="M137" s="32">
        <f>IF(Use_BOM_DF,Weather_Site!H140,IF(0.191*(Weather_Site!K140+104)*(Weather_Site!J140+1)^1.5/(3.52*(Weather_Site!J140+1)^1.5+Weather_Site!I140-1)&gt;10, 10,0.191*(Weather_Site!K140+104)*(Weather_Site!J140+1)^1.5/(3.52*(Weather_Site!J140+1)^1.5+Weather_Site!I140-1)))</f>
        <v>7.882539682539683</v>
      </c>
      <c r="N137" s="32">
        <f t="shared" si="34"/>
        <v>20.470746670427058</v>
      </c>
      <c r="O137" s="33">
        <f t="shared" si="35"/>
        <v>589.55750410829921</v>
      </c>
      <c r="P137" s="33">
        <f t="shared" si="36"/>
        <v>434.92441722128495</v>
      </c>
      <c r="Q137" s="32">
        <f t="shared" si="37"/>
        <v>11.42424755340789</v>
      </c>
      <c r="R137" s="42">
        <f t="shared" si="38"/>
        <v>1631.5252488778347</v>
      </c>
      <c r="S137" s="42">
        <f t="shared" si="39"/>
        <v>5762.9126992118763</v>
      </c>
      <c r="T137" s="42">
        <f t="shared" si="40"/>
        <v>35187.657142857141</v>
      </c>
      <c r="U137" s="32">
        <f t="shared" si="41"/>
        <v>4.0326032894216794</v>
      </c>
      <c r="V137" s="33">
        <f t="shared" si="42"/>
        <v>4.333333333333333</v>
      </c>
      <c r="W137" s="33">
        <f t="shared" si="43"/>
        <v>10.833333333333334</v>
      </c>
      <c r="X137" s="32">
        <f t="shared" si="44"/>
        <v>15.101542264627952</v>
      </c>
      <c r="Y137" s="32">
        <f t="shared" si="45"/>
        <v>3.8877999999999999</v>
      </c>
      <c r="Z137" s="266" t="e">
        <f>IF(Use_BOM_DF,M137/10,MIN(0.972+(0.342*LN(Weather_Site!J140))-(0.245*LN(Weather_Site!I140)),1))</f>
        <v>#NUM!</v>
      </c>
      <c r="AA137" s="33" t="e">
        <f t="shared" si="46"/>
        <v>#NUM!</v>
      </c>
      <c r="AB137" s="33" t="e">
        <f t="shared" si="47"/>
        <v>#NUM!</v>
      </c>
      <c r="AC137" s="33" t="e">
        <f t="shared" si="48"/>
        <v>#NUM!</v>
      </c>
      <c r="AD137" s="32" t="e">
        <f t="shared" si="49"/>
        <v>#NUM!</v>
      </c>
      <c r="AE137" s="32" t="e">
        <f t="shared" si="50"/>
        <v>#NUM!</v>
      </c>
      <c r="AF137" s="42" t="e">
        <f t="shared" si="51"/>
        <v>#NUM!</v>
      </c>
      <c r="AG137" s="83">
        <f t="shared" si="52"/>
        <v>19.889700384196978</v>
      </c>
    </row>
    <row r="138" spans="1:33" x14ac:dyDescent="0.25">
      <c r="A138" s="23" t="str">
        <f>Weather_Site!A141</f>
        <v>Fri</v>
      </c>
      <c r="B138" s="24">
        <f>Weather_Site!B141</f>
        <v>44554</v>
      </c>
      <c r="C138" s="25">
        <f>Weather_Site!C141</f>
        <v>0.54166666666666663</v>
      </c>
      <c r="D138" s="27">
        <f>Weather_Site!D141</f>
        <v>32.6</v>
      </c>
      <c r="E138" s="27">
        <f>Weather_Site!E141</f>
        <v>15.3</v>
      </c>
      <c r="F138" s="28">
        <f>Weather_Site!F141</f>
        <v>145</v>
      </c>
      <c r="G138" s="27">
        <f>Weather_Site!G141</f>
        <v>13</v>
      </c>
      <c r="H138" s="27">
        <f>IF(Weather_Site!M141&lt;180,Weather_Site!M141+180,Weather_Site!M141-180)</f>
        <v>325</v>
      </c>
      <c r="I138" s="172">
        <f t="shared" si="56"/>
        <v>0</v>
      </c>
      <c r="J138" s="214">
        <f t="shared" si="57"/>
        <v>3</v>
      </c>
      <c r="K138" s="27">
        <f t="shared" ref="K138:K174" si="59">G138/J138</f>
        <v>4.333333333333333</v>
      </c>
      <c r="L138" s="172">
        <f t="shared" si="58"/>
        <v>24</v>
      </c>
      <c r="M138" s="32">
        <f>IF(Use_BOM_DF,Weather_Site!H141,IF(0.191*(Weather_Site!K141+104)*(Weather_Site!J141+1)^1.5/(3.52*(Weather_Site!J141+1)^1.5+Weather_Site!I141-1)&gt;10, 10,0.191*(Weather_Site!K141+104)*(Weather_Site!J141+1)^1.5/(3.52*(Weather_Site!J141+1)^1.5+Weather_Site!I141-1)))</f>
        <v>7.882539682539683</v>
      </c>
      <c r="N138" s="32">
        <f t="shared" ref="N138:N174" si="60">2*EXP(-0.45+0.987*LN(M138)-0.0345*E138+0.0338*D138+0.0234*G138*3/J138)</f>
        <v>23.551437886157895</v>
      </c>
      <c r="O138" s="33">
        <f t="shared" ref="O138:O174" si="61">0.0012*N138*L138*EXP(0.069*I138)*1000</f>
        <v>678.28141112134733</v>
      </c>
      <c r="P138" s="33">
        <f t="shared" ref="P138:P174" si="62">0.0012*X138*L138*EXP(0.069*0)*1000</f>
        <v>500.37722425426455</v>
      </c>
      <c r="Q138" s="32">
        <f t="shared" ref="Q138:Q174" si="63">(13*O138/EXP(0.069*I138)/1000+0.24*L138-2)</f>
        <v>12.577658344577516</v>
      </c>
      <c r="R138" s="42">
        <f t="shared" ref="R138:R174" si="64">IF((O138/1000*(4.17-0.033*L138)-0.36)*1000&lt;0,0,(O138/1000*(4.17-0.033*L138)-0.36)*1000)</f>
        <v>1931.2346067679114</v>
      </c>
      <c r="S138" s="42">
        <f t="shared" ref="S138:S174" si="65">516.7*L138*M138/10*O138/1000</f>
        <v>6630.1870988864903</v>
      </c>
      <c r="T138" s="42">
        <f t="shared" ref="T138:T174" si="66">1860*L138*M138/10</f>
        <v>35187.657142857141</v>
      </c>
      <c r="U138" s="32">
        <f t="shared" ref="U138:U174" si="67">3.033808*EXP(E138*(-0.00033169*D138+0.02638614))</f>
        <v>3.8500502491004007</v>
      </c>
      <c r="V138" s="33">
        <f t="shared" ref="V138:V174" si="68">G138/3</f>
        <v>4.333333333333333</v>
      </c>
      <c r="W138" s="33">
        <f t="shared" ref="W138:W174" si="69">G138/1.2</f>
        <v>10.833333333333334</v>
      </c>
      <c r="X138" s="32">
        <f t="shared" ref="X138:X174" si="70">2*EXP(-0.45+0.987*LN(M138)-0.0345*E138+0.0338*D138+0.0234*0)</f>
        <v>17.374209175495299</v>
      </c>
      <c r="Y138" s="32">
        <f t="shared" ref="Y138:Y174" si="71">IF(HOUR(C138)&lt;12,12.519-(0.282*D138)+(0.112*E138),6.783-(0.17*D138)+(0.133*E138))</f>
        <v>3.2759</v>
      </c>
      <c r="Z138" s="266" t="e">
        <f>IF(Use_BOM_DF,M138/10,MIN(0.972+(0.342*LN(Weather_Site!J141))-(0.245*LN(Weather_Site!I141)),1))</f>
        <v>#NUM!</v>
      </c>
      <c r="AA138" s="33" t="e">
        <f t="shared" ref="AA138:AA174" si="72">(0.22*L138*EXP(0.158*(1.674+0.179*G138)-0.227*Y138))*Z138*60</f>
        <v>#NUM!</v>
      </c>
      <c r="AB138" s="33" t="e">
        <f t="shared" ref="AB138:AB174" si="73">AA138*EXP(0.0662*I138)</f>
        <v>#NUM!</v>
      </c>
      <c r="AC138" s="33" t="e">
        <f t="shared" ref="AC138:AC174" si="74">(0.22*L138*EXP(0.158*0-0.227*Y138))*Z138*60</f>
        <v>#NUM!</v>
      </c>
      <c r="AD138" s="32" t="e">
        <f t="shared" ref="AD138:AD174" si="75">0.3048*31.7537*(1-EXP(-0.31772*AB138/18.3))*(1-EXP(-(0.03644*1.1289^(AB138/18.3))*(Z138*L138/2.2417)))</f>
        <v>#NUM!</v>
      </c>
      <c r="AE138" s="32" t="e">
        <f t="shared" ref="AE138:AE174" si="76">IF(D138&lt;20,-2.19+(2.23*SQRT(AA138)),-0.296+(2.23*SQRT(AA138)))</f>
        <v>#NUM!</v>
      </c>
      <c r="AF138" s="42" t="e">
        <f t="shared" ref="AF138:AF174" si="77">18000*(L138*Z138)*AB138/36000</f>
        <v>#NUM!</v>
      </c>
      <c r="AG138" s="83">
        <f t="shared" ref="AG138:AG174" si="78">34.8 * M138 * EXP(0.0234 * G138) * U138 ^ -2.1</f>
        <v>21.92190825264796</v>
      </c>
    </row>
    <row r="139" spans="1:33" x14ac:dyDescent="0.25">
      <c r="A139" s="23" t="str">
        <f>Weather_Site!A142</f>
        <v>Fri</v>
      </c>
      <c r="B139" s="24">
        <f>Weather_Site!B142</f>
        <v>44554</v>
      </c>
      <c r="C139" s="25">
        <f>Weather_Site!C142</f>
        <v>0.58333333333333337</v>
      </c>
      <c r="D139" s="27">
        <f>Weather_Site!D142</f>
        <v>34.299999999999997</v>
      </c>
      <c r="E139" s="27">
        <f>Weather_Site!E142</f>
        <v>13.4</v>
      </c>
      <c r="F139" s="28">
        <f>Weather_Site!F142</f>
        <v>150</v>
      </c>
      <c r="G139" s="27">
        <f>Weather_Site!G142</f>
        <v>13</v>
      </c>
      <c r="H139" s="27">
        <f>IF(Weather_Site!M142&lt;180,Weather_Site!M142+180,Weather_Site!M142-180)</f>
        <v>330</v>
      </c>
      <c r="I139" s="172">
        <f t="shared" si="56"/>
        <v>0</v>
      </c>
      <c r="J139" s="214">
        <f t="shared" si="57"/>
        <v>3</v>
      </c>
      <c r="K139" s="27">
        <f t="shared" si="59"/>
        <v>4.333333333333333</v>
      </c>
      <c r="L139" s="172">
        <f t="shared" si="58"/>
        <v>24</v>
      </c>
      <c r="M139" s="32">
        <f>IF(Use_BOM_DF,Weather_Site!H142,IF(0.191*(Weather_Site!K142+104)*(Weather_Site!J142+1)^1.5/(3.52*(Weather_Site!J142+1)^1.5+Weather_Site!I142-1)&gt;10, 10,0.191*(Weather_Site!K142+104)*(Weather_Site!J142+1)^1.5/(3.52*(Weather_Site!J142+1)^1.5+Weather_Site!I142-1)))</f>
        <v>7.882539682539683</v>
      </c>
      <c r="N139" s="32">
        <f t="shared" si="60"/>
        <v>26.634220537242097</v>
      </c>
      <c r="O139" s="33">
        <f t="shared" si="61"/>
        <v>767.06555147257234</v>
      </c>
      <c r="P139" s="33">
        <f t="shared" si="62"/>
        <v>565.87446622246455</v>
      </c>
      <c r="Q139" s="32">
        <f t="shared" si="63"/>
        <v>13.731852169143439</v>
      </c>
      <c r="R139" s="42">
        <f t="shared" si="64"/>
        <v>2231.1474328743498</v>
      </c>
      <c r="S139" s="42">
        <f t="shared" si="65"/>
        <v>7498.0502782256426</v>
      </c>
      <c r="T139" s="42">
        <f t="shared" si="66"/>
        <v>35187.657142857141</v>
      </c>
      <c r="U139" s="32">
        <f t="shared" si="67"/>
        <v>3.7096647710487463</v>
      </c>
      <c r="V139" s="33">
        <f t="shared" si="68"/>
        <v>4.333333333333333</v>
      </c>
      <c r="W139" s="33">
        <f t="shared" si="69"/>
        <v>10.833333333333334</v>
      </c>
      <c r="X139" s="32">
        <f t="shared" si="70"/>
        <v>19.648418966057797</v>
      </c>
      <c r="Y139" s="32">
        <f t="shared" si="71"/>
        <v>2.7342000000000013</v>
      </c>
      <c r="Z139" s="266" t="e">
        <f>IF(Use_BOM_DF,M139/10,MIN(0.972+(0.342*LN(Weather_Site!J142))-(0.245*LN(Weather_Site!I142)),1))</f>
        <v>#NUM!</v>
      </c>
      <c r="AA139" s="33" t="e">
        <f t="shared" si="72"/>
        <v>#NUM!</v>
      </c>
      <c r="AB139" s="33" t="e">
        <f t="shared" si="73"/>
        <v>#NUM!</v>
      </c>
      <c r="AC139" s="33" t="e">
        <f t="shared" si="74"/>
        <v>#NUM!</v>
      </c>
      <c r="AD139" s="32" t="e">
        <f t="shared" si="75"/>
        <v>#NUM!</v>
      </c>
      <c r="AE139" s="32" t="e">
        <f t="shared" si="76"/>
        <v>#NUM!</v>
      </c>
      <c r="AF139" s="42" t="e">
        <f t="shared" si="77"/>
        <v>#NUM!</v>
      </c>
      <c r="AG139" s="83">
        <f t="shared" si="78"/>
        <v>23.700362736754506</v>
      </c>
    </row>
    <row r="140" spans="1:33" x14ac:dyDescent="0.25">
      <c r="A140" s="23" t="str">
        <f>Weather_Site!A143</f>
        <v>Fri</v>
      </c>
      <c r="B140" s="24">
        <f>Weather_Site!B143</f>
        <v>44554</v>
      </c>
      <c r="C140" s="25">
        <f>Weather_Site!C143</f>
        <v>0.625</v>
      </c>
      <c r="D140" s="27">
        <f>Weather_Site!D143</f>
        <v>35.4</v>
      </c>
      <c r="E140" s="27">
        <f>Weather_Site!E143</f>
        <v>12.1</v>
      </c>
      <c r="F140" s="28">
        <f>Weather_Site!F143</f>
        <v>154</v>
      </c>
      <c r="G140" s="27">
        <f>Weather_Site!G143</f>
        <v>11</v>
      </c>
      <c r="H140" s="27">
        <f>IF(Weather_Site!M143&lt;180,Weather_Site!M143+180,Weather_Site!M143-180)</f>
        <v>334</v>
      </c>
      <c r="I140" s="172">
        <f t="shared" si="56"/>
        <v>0</v>
      </c>
      <c r="J140" s="214">
        <f t="shared" si="57"/>
        <v>3</v>
      </c>
      <c r="K140" s="27">
        <f t="shared" si="59"/>
        <v>3.6666666666666665</v>
      </c>
      <c r="L140" s="172">
        <f t="shared" si="58"/>
        <v>24</v>
      </c>
      <c r="M140" s="32">
        <f>IF(Use_BOM_DF,Weather_Site!H143,IF(0.191*(Weather_Site!K143+104)*(Weather_Site!J143+1)^1.5/(3.52*(Weather_Site!J143+1)^1.5+Weather_Site!I143-1)&gt;10, 10,0.191*(Weather_Site!K143+104)*(Weather_Site!J143+1)^1.5/(3.52*(Weather_Site!J143+1)^1.5+Weather_Site!I143-1)))</f>
        <v>7.882539682539683</v>
      </c>
      <c r="N140" s="32">
        <f t="shared" si="60"/>
        <v>27.589268518962768</v>
      </c>
      <c r="O140" s="33">
        <f t="shared" si="61"/>
        <v>794.57093334612762</v>
      </c>
      <c r="P140" s="33">
        <f t="shared" si="62"/>
        <v>614.25015422358592</v>
      </c>
      <c r="Q140" s="32">
        <f t="shared" si="63"/>
        <v>14.08942213349966</v>
      </c>
      <c r="R140" s="42">
        <f t="shared" si="64"/>
        <v>2324.0606128432191</v>
      </c>
      <c r="S140" s="42">
        <f t="shared" si="65"/>
        <v>7766.9148306928873</v>
      </c>
      <c r="T140" s="42">
        <f t="shared" si="66"/>
        <v>35187.657142857141</v>
      </c>
      <c r="U140" s="32">
        <f t="shared" si="67"/>
        <v>3.621958115679341</v>
      </c>
      <c r="V140" s="33">
        <f t="shared" si="68"/>
        <v>3.6666666666666665</v>
      </c>
      <c r="W140" s="33">
        <f t="shared" si="69"/>
        <v>9.1666666666666679</v>
      </c>
      <c r="X140" s="32">
        <f t="shared" si="70"/>
        <v>21.328130354985625</v>
      </c>
      <c r="Y140" s="32">
        <f t="shared" si="71"/>
        <v>2.3743000000000007</v>
      </c>
      <c r="Z140" s="266" t="e">
        <f>IF(Use_BOM_DF,M140/10,MIN(0.972+(0.342*LN(Weather_Site!J143))-(0.245*LN(Weather_Site!I143)),1))</f>
        <v>#NUM!</v>
      </c>
      <c r="AA140" s="33" t="e">
        <f t="shared" si="72"/>
        <v>#NUM!</v>
      </c>
      <c r="AB140" s="33" t="e">
        <f t="shared" si="73"/>
        <v>#NUM!</v>
      </c>
      <c r="AC140" s="33" t="e">
        <f t="shared" si="74"/>
        <v>#NUM!</v>
      </c>
      <c r="AD140" s="32" t="e">
        <f t="shared" si="75"/>
        <v>#NUM!</v>
      </c>
      <c r="AE140" s="32" t="e">
        <f t="shared" si="76"/>
        <v>#NUM!</v>
      </c>
      <c r="AF140" s="42" t="e">
        <f t="shared" si="77"/>
        <v>#NUM!</v>
      </c>
      <c r="AG140" s="83">
        <f t="shared" si="78"/>
        <v>23.782177672105977</v>
      </c>
    </row>
    <row r="141" spans="1:33" x14ac:dyDescent="0.25">
      <c r="A141" s="23" t="str">
        <f>Weather_Site!A144</f>
        <v>Fri</v>
      </c>
      <c r="B141" s="24">
        <f>Weather_Site!B144</f>
        <v>44554</v>
      </c>
      <c r="C141" s="25">
        <f>Weather_Site!C144</f>
        <v>0.66666666666666663</v>
      </c>
      <c r="D141" s="27">
        <f>Weather_Site!D144</f>
        <v>36.1</v>
      </c>
      <c r="E141" s="27">
        <f>Weather_Site!E144</f>
        <v>11.4</v>
      </c>
      <c r="F141" s="28">
        <f>Weather_Site!F144</f>
        <v>159</v>
      </c>
      <c r="G141" s="27">
        <f>Weather_Site!G144</f>
        <v>12</v>
      </c>
      <c r="H141" s="27">
        <f>IF(Weather_Site!M144&lt;180,Weather_Site!M144+180,Weather_Site!M144-180)</f>
        <v>339</v>
      </c>
      <c r="I141" s="172">
        <f t="shared" si="56"/>
        <v>0</v>
      </c>
      <c r="J141" s="214">
        <f t="shared" si="57"/>
        <v>3</v>
      </c>
      <c r="K141" s="27">
        <f t="shared" si="59"/>
        <v>4</v>
      </c>
      <c r="L141" s="172">
        <f t="shared" si="58"/>
        <v>24</v>
      </c>
      <c r="M141" s="32">
        <f>IF(Use_BOM_DF,Weather_Site!H144,IF(0.191*(Weather_Site!K144+104)*(Weather_Site!J144+1)^1.5/(3.52*(Weather_Site!J144+1)^1.5+Weather_Site!I144-1)&gt;10, 10,0.191*(Weather_Site!K144+104)*(Weather_Site!J144+1)^1.5/(3.52*(Weather_Site!J144+1)^1.5+Weather_Site!I144-1)))</f>
        <v>7.882539682539683</v>
      </c>
      <c r="N141" s="32">
        <f t="shared" si="60"/>
        <v>29.62554142790173</v>
      </c>
      <c r="O141" s="33">
        <f t="shared" si="61"/>
        <v>853.21559312356987</v>
      </c>
      <c r="P141" s="33">
        <f t="shared" si="62"/>
        <v>644.33080235656143</v>
      </c>
      <c r="Q141" s="32">
        <f t="shared" si="63"/>
        <v>14.851802710606407</v>
      </c>
      <c r="R141" s="42">
        <f t="shared" si="64"/>
        <v>2522.1622735714191</v>
      </c>
      <c r="S141" s="42">
        <f t="shared" si="65"/>
        <v>8340.1651959537794</v>
      </c>
      <c r="T141" s="42">
        <f t="shared" si="66"/>
        <v>35187.657142857141</v>
      </c>
      <c r="U141" s="32">
        <f t="shared" si="67"/>
        <v>3.5755424164888865</v>
      </c>
      <c r="V141" s="33">
        <f t="shared" si="68"/>
        <v>4</v>
      </c>
      <c r="W141" s="33">
        <f t="shared" si="69"/>
        <v>10</v>
      </c>
      <c r="X141" s="32">
        <f t="shared" si="70"/>
        <v>22.372597304047275</v>
      </c>
      <c r="Y141" s="32">
        <f t="shared" si="71"/>
        <v>2.1622000000000003</v>
      </c>
      <c r="Z141" s="266" t="e">
        <f>IF(Use_BOM_DF,M141/10,MIN(0.972+(0.342*LN(Weather_Site!J144))-(0.245*LN(Weather_Site!I144)),1))</f>
        <v>#NUM!</v>
      </c>
      <c r="AA141" s="33" t="e">
        <f t="shared" si="72"/>
        <v>#NUM!</v>
      </c>
      <c r="AB141" s="33" t="e">
        <f t="shared" si="73"/>
        <v>#NUM!</v>
      </c>
      <c r="AC141" s="33" t="e">
        <f t="shared" si="74"/>
        <v>#NUM!</v>
      </c>
      <c r="AD141" s="32" t="e">
        <f t="shared" si="75"/>
        <v>#NUM!</v>
      </c>
      <c r="AE141" s="32" t="e">
        <f t="shared" si="76"/>
        <v>#NUM!</v>
      </c>
      <c r="AF141" s="42" t="e">
        <f t="shared" si="77"/>
        <v>#NUM!</v>
      </c>
      <c r="AG141" s="83">
        <f t="shared" si="78"/>
        <v>25.013659745015158</v>
      </c>
    </row>
    <row r="142" spans="1:33" x14ac:dyDescent="0.25">
      <c r="A142" s="23" t="str">
        <f>Weather_Site!A145</f>
        <v>Fri</v>
      </c>
      <c r="B142" s="24">
        <f>Weather_Site!B145</f>
        <v>44554</v>
      </c>
      <c r="C142" s="25">
        <f>Weather_Site!C145</f>
        <v>0.70833333333333337</v>
      </c>
      <c r="D142" s="27">
        <f>Weather_Site!D145</f>
        <v>36.6</v>
      </c>
      <c r="E142" s="27">
        <f>Weather_Site!E145</f>
        <v>10.8</v>
      </c>
      <c r="F142" s="28">
        <f>Weather_Site!F145</f>
        <v>164</v>
      </c>
      <c r="G142" s="27">
        <f>Weather_Site!G145</f>
        <v>11</v>
      </c>
      <c r="H142" s="27">
        <f>IF(Weather_Site!M145&lt;180,Weather_Site!M145+180,Weather_Site!M145-180)</f>
        <v>344</v>
      </c>
      <c r="I142" s="172">
        <f t="shared" si="56"/>
        <v>0</v>
      </c>
      <c r="J142" s="214">
        <f t="shared" si="57"/>
        <v>3</v>
      </c>
      <c r="K142" s="27">
        <f t="shared" si="59"/>
        <v>3.6666666666666665</v>
      </c>
      <c r="L142" s="172">
        <f t="shared" si="58"/>
        <v>24</v>
      </c>
      <c r="M142" s="32">
        <f>IF(Use_BOM_DF,Weather_Site!H145,IF(0.191*(Weather_Site!K145+104)*(Weather_Site!J145+1)^1.5/(3.52*(Weather_Site!J145+1)^1.5+Weather_Site!I145-1)&gt;10, 10,0.191*(Weather_Site!K145+104)*(Weather_Site!J145+1)^1.5/(3.52*(Weather_Site!J145+1)^1.5+Weather_Site!I145-1)))</f>
        <v>7.882539682539683</v>
      </c>
      <c r="N142" s="32">
        <f t="shared" si="60"/>
        <v>30.049225151339428</v>
      </c>
      <c r="O142" s="33">
        <f t="shared" si="61"/>
        <v>865.41768435857546</v>
      </c>
      <c r="P142" s="33">
        <f t="shared" si="62"/>
        <v>669.01886763772131</v>
      </c>
      <c r="Q142" s="32">
        <f t="shared" si="63"/>
        <v>15.010429896661478</v>
      </c>
      <c r="R142" s="42">
        <f t="shared" si="64"/>
        <v>2563.3809377632683</v>
      </c>
      <c r="S142" s="42">
        <f t="shared" si="65"/>
        <v>8459.4403914099257</v>
      </c>
      <c r="T142" s="42">
        <f t="shared" si="66"/>
        <v>35187.657142857141</v>
      </c>
      <c r="U142" s="32">
        <f t="shared" si="67"/>
        <v>3.5384135781298132</v>
      </c>
      <c r="V142" s="33">
        <f t="shared" si="68"/>
        <v>3.6666666666666665</v>
      </c>
      <c r="W142" s="33">
        <f t="shared" si="69"/>
        <v>9.1666666666666679</v>
      </c>
      <c r="X142" s="32">
        <f t="shared" si="70"/>
        <v>23.229821792976434</v>
      </c>
      <c r="Y142" s="32">
        <f t="shared" si="71"/>
        <v>1.9974000000000001</v>
      </c>
      <c r="Z142" s="266" t="e">
        <f>IF(Use_BOM_DF,M142/10,MIN(0.972+(0.342*LN(Weather_Site!J145))-(0.245*LN(Weather_Site!I145)),1))</f>
        <v>#NUM!</v>
      </c>
      <c r="AA142" s="33" t="e">
        <f t="shared" si="72"/>
        <v>#NUM!</v>
      </c>
      <c r="AB142" s="33" t="e">
        <f t="shared" si="73"/>
        <v>#NUM!</v>
      </c>
      <c r="AC142" s="33" t="e">
        <f t="shared" si="74"/>
        <v>#NUM!</v>
      </c>
      <c r="AD142" s="32" t="e">
        <f t="shared" si="75"/>
        <v>#NUM!</v>
      </c>
      <c r="AE142" s="32" t="e">
        <f t="shared" si="76"/>
        <v>#NUM!</v>
      </c>
      <c r="AF142" s="42" t="e">
        <f t="shared" si="77"/>
        <v>#NUM!</v>
      </c>
      <c r="AG142" s="83">
        <f t="shared" si="78"/>
        <v>24.976683136389532</v>
      </c>
    </row>
    <row r="143" spans="1:33" x14ac:dyDescent="0.25">
      <c r="A143" s="23" t="str">
        <f>Weather_Site!A146</f>
        <v>Fri</v>
      </c>
      <c r="B143" s="24">
        <f>Weather_Site!B146</f>
        <v>44554</v>
      </c>
      <c r="C143" s="25">
        <f>Weather_Site!C146</f>
        <v>0.75</v>
      </c>
      <c r="D143" s="27">
        <f>Weather_Site!D146</f>
        <v>36</v>
      </c>
      <c r="E143" s="27">
        <f>Weather_Site!E146</f>
        <v>11.3</v>
      </c>
      <c r="F143" s="28">
        <f>Weather_Site!F146</f>
        <v>157</v>
      </c>
      <c r="G143" s="27">
        <f>Weather_Site!G146</f>
        <v>12</v>
      </c>
      <c r="H143" s="27">
        <f>IF(Weather_Site!M146&lt;180,Weather_Site!M146+180,Weather_Site!M146-180)</f>
        <v>337</v>
      </c>
      <c r="I143" s="172">
        <f t="shared" si="56"/>
        <v>0</v>
      </c>
      <c r="J143" s="214">
        <f t="shared" si="57"/>
        <v>3</v>
      </c>
      <c r="K143" s="27">
        <f t="shared" si="59"/>
        <v>4</v>
      </c>
      <c r="L143" s="172">
        <f t="shared" si="58"/>
        <v>24</v>
      </c>
      <c r="M143" s="32">
        <f>IF(Use_BOM_DF,Weather_Site!H146,IF(0.191*(Weather_Site!K146+104)*(Weather_Site!J146+1)^1.5/(3.52*(Weather_Site!J146+1)^1.5+Weather_Site!I146-1)&gt;10, 10,0.191*(Weather_Site!K146+104)*(Weather_Site!J146+1)^1.5/(3.52*(Weather_Site!J146+1)^1.5+Weather_Site!I146-1)))</f>
        <v>7.882539682539683</v>
      </c>
      <c r="N143" s="32">
        <f t="shared" si="60"/>
        <v>29.627615288385954</v>
      </c>
      <c r="O143" s="33">
        <f t="shared" si="61"/>
        <v>853.27532030551549</v>
      </c>
      <c r="P143" s="33">
        <f t="shared" si="62"/>
        <v>644.37590709137385</v>
      </c>
      <c r="Q143" s="32">
        <f t="shared" si="63"/>
        <v>14.852579163971701</v>
      </c>
      <c r="R143" s="42">
        <f t="shared" si="64"/>
        <v>2522.3640319920314</v>
      </c>
      <c r="S143" s="42">
        <f t="shared" si="65"/>
        <v>8340.7490279513768</v>
      </c>
      <c r="T143" s="42">
        <f t="shared" si="66"/>
        <v>35187.657142857141</v>
      </c>
      <c r="U143" s="32">
        <f t="shared" si="67"/>
        <v>3.5717314782589957</v>
      </c>
      <c r="V143" s="33">
        <f t="shared" si="68"/>
        <v>4</v>
      </c>
      <c r="W143" s="33">
        <f t="shared" si="69"/>
        <v>10</v>
      </c>
      <c r="X143" s="32">
        <f t="shared" si="70"/>
        <v>22.374163440672703</v>
      </c>
      <c r="Y143" s="32">
        <f t="shared" si="71"/>
        <v>2.1659000000000006</v>
      </c>
      <c r="Z143" s="266" t="e">
        <f>IF(Use_BOM_DF,M143/10,MIN(0.972+(0.342*LN(Weather_Site!J146))-(0.245*LN(Weather_Site!I146)),1))</f>
        <v>#NUM!</v>
      </c>
      <c r="AA143" s="33" t="e">
        <f t="shared" si="72"/>
        <v>#NUM!</v>
      </c>
      <c r="AB143" s="33" t="e">
        <f t="shared" si="73"/>
        <v>#NUM!</v>
      </c>
      <c r="AC143" s="33" t="e">
        <f t="shared" si="74"/>
        <v>#NUM!</v>
      </c>
      <c r="AD143" s="32" t="e">
        <f t="shared" si="75"/>
        <v>#NUM!</v>
      </c>
      <c r="AE143" s="32" t="e">
        <f t="shared" si="76"/>
        <v>#NUM!</v>
      </c>
      <c r="AF143" s="42" t="e">
        <f t="shared" si="77"/>
        <v>#NUM!</v>
      </c>
      <c r="AG143" s="83">
        <f t="shared" si="78"/>
        <v>25.069739283936443</v>
      </c>
    </row>
    <row r="144" spans="1:33" x14ac:dyDescent="0.25">
      <c r="A144" s="23" t="str">
        <f>Weather_Site!A147</f>
        <v>Fri</v>
      </c>
      <c r="B144" s="24">
        <f>Weather_Site!B147</f>
        <v>44554</v>
      </c>
      <c r="C144" s="25">
        <f>Weather_Site!C147</f>
        <v>0.79166666666666663</v>
      </c>
      <c r="D144" s="27">
        <f>Weather_Site!D147</f>
        <v>35.5</v>
      </c>
      <c r="E144" s="27">
        <f>Weather_Site!E147</f>
        <v>11.5</v>
      </c>
      <c r="F144" s="28">
        <f>Weather_Site!F147</f>
        <v>154</v>
      </c>
      <c r="G144" s="27">
        <f>Weather_Site!G147</f>
        <v>11</v>
      </c>
      <c r="H144" s="27">
        <f>IF(Weather_Site!M147&lt;180,Weather_Site!M147+180,Weather_Site!M147-180)</f>
        <v>334</v>
      </c>
      <c r="I144" s="172">
        <f t="shared" si="56"/>
        <v>0</v>
      </c>
      <c r="J144" s="214">
        <f t="shared" si="57"/>
        <v>3</v>
      </c>
      <c r="K144" s="27">
        <f t="shared" si="59"/>
        <v>3.6666666666666665</v>
      </c>
      <c r="L144" s="172">
        <f t="shared" si="58"/>
        <v>24</v>
      </c>
      <c r="M144" s="32">
        <f>IF(Use_BOM_DF,Weather_Site!H147,IF(0.191*(Weather_Site!K147+104)*(Weather_Site!J147+1)^1.5/(3.52*(Weather_Site!J147+1)^1.5+Weather_Site!I147-1)&gt;10, 10,0.191*(Weather_Site!K147+104)*(Weather_Site!J147+1)^1.5/(3.52*(Weather_Site!J147+1)^1.5+Weather_Site!I147-1)))</f>
        <v>7.882539682539683</v>
      </c>
      <c r="N144" s="32">
        <f t="shared" si="60"/>
        <v>28.261681465740384</v>
      </c>
      <c r="O144" s="33">
        <f t="shared" si="61"/>
        <v>813.93642621332299</v>
      </c>
      <c r="P144" s="33">
        <f t="shared" si="62"/>
        <v>629.22082138629821</v>
      </c>
      <c r="Q144" s="32">
        <f t="shared" si="63"/>
        <v>14.341173540773198</v>
      </c>
      <c r="R144" s="42">
        <f t="shared" si="64"/>
        <v>2389.4772477486049</v>
      </c>
      <c r="S144" s="42">
        <f t="shared" si="65"/>
        <v>7956.2121324711989</v>
      </c>
      <c r="T144" s="42">
        <f t="shared" si="66"/>
        <v>35187.657142857141</v>
      </c>
      <c r="U144" s="32">
        <f t="shared" si="67"/>
        <v>3.5889036418958278</v>
      </c>
      <c r="V144" s="33">
        <f t="shared" si="68"/>
        <v>3.6666666666666665</v>
      </c>
      <c r="W144" s="33">
        <f t="shared" si="69"/>
        <v>9.1666666666666679</v>
      </c>
      <c r="X144" s="32">
        <f t="shared" si="70"/>
        <v>21.847945187024244</v>
      </c>
      <c r="Y144" s="32">
        <f t="shared" si="71"/>
        <v>2.2775000000000003</v>
      </c>
      <c r="Z144" s="266" t="e">
        <f>IF(Use_BOM_DF,M144/10,MIN(0.972+(0.342*LN(Weather_Site!J147))-(0.245*LN(Weather_Site!I147)),1))</f>
        <v>#NUM!</v>
      </c>
      <c r="AA144" s="33" t="e">
        <f t="shared" si="72"/>
        <v>#NUM!</v>
      </c>
      <c r="AB144" s="33" t="e">
        <f t="shared" si="73"/>
        <v>#NUM!</v>
      </c>
      <c r="AC144" s="33" t="e">
        <f t="shared" si="74"/>
        <v>#NUM!</v>
      </c>
      <c r="AD144" s="32" t="e">
        <f t="shared" si="75"/>
        <v>#NUM!</v>
      </c>
      <c r="AE144" s="32" t="e">
        <f t="shared" si="76"/>
        <v>#NUM!</v>
      </c>
      <c r="AF144" s="42" t="e">
        <f t="shared" si="77"/>
        <v>#NUM!</v>
      </c>
      <c r="AG144" s="83">
        <f t="shared" si="78"/>
        <v>24.244488903450417</v>
      </c>
    </row>
    <row r="145" spans="1:33" x14ac:dyDescent="0.25">
      <c r="A145" s="23" t="str">
        <f>Weather_Site!A148</f>
        <v>Fri</v>
      </c>
      <c r="B145" s="24">
        <f>Weather_Site!B148</f>
        <v>44554</v>
      </c>
      <c r="C145" s="25">
        <f>Weather_Site!C148</f>
        <v>0.83333333333333337</v>
      </c>
      <c r="D145" s="27">
        <f>Weather_Site!D148</f>
        <v>34</v>
      </c>
      <c r="E145" s="27">
        <f>Weather_Site!E148</f>
        <v>12.6</v>
      </c>
      <c r="F145" s="28">
        <f>Weather_Site!F148</f>
        <v>152</v>
      </c>
      <c r="G145" s="27">
        <f>Weather_Site!G148</f>
        <v>9</v>
      </c>
      <c r="H145" s="27">
        <f>IF(Weather_Site!M148&lt;180,Weather_Site!M148+180,Weather_Site!M148-180)</f>
        <v>332</v>
      </c>
      <c r="I145" s="172">
        <f t="shared" si="56"/>
        <v>0</v>
      </c>
      <c r="J145" s="214">
        <f t="shared" si="57"/>
        <v>3</v>
      </c>
      <c r="K145" s="27">
        <f t="shared" si="59"/>
        <v>3</v>
      </c>
      <c r="L145" s="172">
        <f t="shared" si="58"/>
        <v>24</v>
      </c>
      <c r="M145" s="32">
        <f>IF(Use_BOM_DF,Weather_Site!H148,IF(0.191*(Weather_Site!K148+104)*(Weather_Site!J148+1)^1.5/(3.52*(Weather_Site!J148+1)^1.5+Weather_Site!I148-1)&gt;10, 10,0.191*(Weather_Site!K148+104)*(Weather_Site!J148+1)^1.5/(3.52*(Weather_Site!J148+1)^1.5+Weather_Site!I148-1)))</f>
        <v>7.882539682539683</v>
      </c>
      <c r="N145" s="32">
        <f t="shared" si="60"/>
        <v>24.681571581080679</v>
      </c>
      <c r="O145" s="33">
        <f t="shared" si="61"/>
        <v>710.82926153512346</v>
      </c>
      <c r="P145" s="33">
        <f t="shared" si="62"/>
        <v>575.84139246732866</v>
      </c>
      <c r="Q145" s="32">
        <f t="shared" si="63"/>
        <v>13.000780399956605</v>
      </c>
      <c r="R145" s="42">
        <f t="shared" si="64"/>
        <v>2041.1812454656472</v>
      </c>
      <c r="S145" s="42">
        <f t="shared" si="65"/>
        <v>6948.3416795245521</v>
      </c>
      <c r="T145" s="42">
        <f t="shared" si="66"/>
        <v>35187.657142857141</v>
      </c>
      <c r="U145" s="32">
        <f t="shared" si="67"/>
        <v>3.6699864285942145</v>
      </c>
      <c r="V145" s="33">
        <f t="shared" si="68"/>
        <v>3</v>
      </c>
      <c r="W145" s="33">
        <f t="shared" si="69"/>
        <v>7.5</v>
      </c>
      <c r="X145" s="32">
        <f t="shared" si="70"/>
        <v>19.994492794004469</v>
      </c>
      <c r="Y145" s="32">
        <f t="shared" si="71"/>
        <v>2.6787999999999998</v>
      </c>
      <c r="Z145" s="266" t="e">
        <f>IF(Use_BOM_DF,M145/10,MIN(0.972+(0.342*LN(Weather_Site!J148))-(0.245*LN(Weather_Site!I148)),1))</f>
        <v>#NUM!</v>
      </c>
      <c r="AA145" s="33" t="e">
        <f t="shared" si="72"/>
        <v>#NUM!</v>
      </c>
      <c r="AB145" s="33" t="e">
        <f t="shared" si="73"/>
        <v>#NUM!</v>
      </c>
      <c r="AC145" s="33" t="e">
        <f t="shared" si="74"/>
        <v>#NUM!</v>
      </c>
      <c r="AD145" s="32" t="e">
        <f t="shared" si="75"/>
        <v>#NUM!</v>
      </c>
      <c r="AE145" s="32" t="e">
        <f t="shared" si="76"/>
        <v>#NUM!</v>
      </c>
      <c r="AF145" s="42" t="e">
        <f t="shared" si="77"/>
        <v>#NUM!</v>
      </c>
      <c r="AG145" s="83">
        <f t="shared" si="78"/>
        <v>22.075597408405265</v>
      </c>
    </row>
    <row r="146" spans="1:33" x14ac:dyDescent="0.25">
      <c r="A146" s="23" t="str">
        <f>Weather_Site!A149</f>
        <v>Fri</v>
      </c>
      <c r="B146" s="24">
        <f>Weather_Site!B149</f>
        <v>44554</v>
      </c>
      <c r="C146" s="25">
        <f>Weather_Site!C149</f>
        <v>0.875</v>
      </c>
      <c r="D146" s="27">
        <f>Weather_Site!D149</f>
        <v>30.8</v>
      </c>
      <c r="E146" s="27">
        <f>Weather_Site!E149</f>
        <v>16.3</v>
      </c>
      <c r="F146" s="28">
        <f>Weather_Site!F149</f>
        <v>150</v>
      </c>
      <c r="G146" s="27">
        <f>Weather_Site!G149</f>
        <v>8</v>
      </c>
      <c r="H146" s="27">
        <f>IF(Weather_Site!M149&lt;180,Weather_Site!M149+180,Weather_Site!M149-180)</f>
        <v>330</v>
      </c>
      <c r="I146" s="172">
        <f t="shared" si="56"/>
        <v>0</v>
      </c>
      <c r="J146" s="214">
        <f t="shared" si="57"/>
        <v>3</v>
      </c>
      <c r="K146" s="27">
        <f t="shared" si="59"/>
        <v>2.6666666666666665</v>
      </c>
      <c r="L146" s="172">
        <f t="shared" si="58"/>
        <v>24</v>
      </c>
      <c r="M146" s="32">
        <f>IF(Use_BOM_DF,Weather_Site!H149,IF(0.191*(Weather_Site!K149+104)*(Weather_Site!J149+1)^1.5/(3.52*(Weather_Site!J149+1)^1.5+Weather_Site!I149-1)&gt;10, 10,0.191*(Weather_Site!K149+104)*(Weather_Site!J149+1)^1.5/(3.52*(Weather_Site!J149+1)^1.5+Weather_Site!I149-1)))</f>
        <v>7.882539682539683</v>
      </c>
      <c r="N146" s="32">
        <f t="shared" si="60"/>
        <v>19.045805152107899</v>
      </c>
      <c r="O146" s="33">
        <f t="shared" si="61"/>
        <v>548.51918838070742</v>
      </c>
      <c r="P146" s="33">
        <f t="shared" si="62"/>
        <v>454.87482102727489</v>
      </c>
      <c r="Q146" s="32">
        <f t="shared" si="63"/>
        <v>10.890749448949197</v>
      </c>
      <c r="R146" s="42">
        <f t="shared" si="64"/>
        <v>1492.8978183500296</v>
      </c>
      <c r="S146" s="42">
        <f t="shared" si="65"/>
        <v>5361.7639915578029</v>
      </c>
      <c r="T146" s="42">
        <f t="shared" si="66"/>
        <v>35187.657142857141</v>
      </c>
      <c r="U146" s="32">
        <f t="shared" si="67"/>
        <v>3.9487182418902358</v>
      </c>
      <c r="V146" s="33">
        <f t="shared" si="68"/>
        <v>2.6666666666666665</v>
      </c>
      <c r="W146" s="33">
        <f t="shared" si="69"/>
        <v>6.666666666666667</v>
      </c>
      <c r="X146" s="32">
        <f t="shared" si="70"/>
        <v>15.7942646190026</v>
      </c>
      <c r="Y146" s="32">
        <f t="shared" si="71"/>
        <v>3.7149000000000001</v>
      </c>
      <c r="Z146" s="266" t="e">
        <f>IF(Use_BOM_DF,M146/10,MIN(0.972+(0.342*LN(Weather_Site!J149))-(0.245*LN(Weather_Site!I149)),1))</f>
        <v>#NUM!</v>
      </c>
      <c r="AA146" s="33" t="e">
        <f t="shared" si="72"/>
        <v>#NUM!</v>
      </c>
      <c r="AB146" s="33" t="e">
        <f t="shared" si="73"/>
        <v>#NUM!</v>
      </c>
      <c r="AC146" s="33" t="e">
        <f t="shared" si="74"/>
        <v>#NUM!</v>
      </c>
      <c r="AD146" s="32" t="e">
        <f t="shared" si="75"/>
        <v>#NUM!</v>
      </c>
      <c r="AE146" s="32" t="e">
        <f t="shared" si="76"/>
        <v>#NUM!</v>
      </c>
      <c r="AF146" s="42" t="e">
        <f t="shared" si="77"/>
        <v>#NUM!</v>
      </c>
      <c r="AG146" s="83">
        <f t="shared" si="78"/>
        <v>18.492150954996365</v>
      </c>
    </row>
    <row r="147" spans="1:33" x14ac:dyDescent="0.25">
      <c r="A147" s="23" t="str">
        <f>Weather_Site!A150</f>
        <v>Fri</v>
      </c>
      <c r="B147" s="24">
        <f>Weather_Site!B150</f>
        <v>44554</v>
      </c>
      <c r="C147" s="25">
        <f>Weather_Site!C150</f>
        <v>0.91666666666666663</v>
      </c>
      <c r="D147" s="27">
        <f>Weather_Site!D150</f>
        <v>28.5</v>
      </c>
      <c r="E147" s="27">
        <f>Weather_Site!E150</f>
        <v>19.399999999999999</v>
      </c>
      <c r="F147" s="28">
        <f>Weather_Site!F150</f>
        <v>148</v>
      </c>
      <c r="G147" s="27">
        <f>Weather_Site!G150</f>
        <v>9</v>
      </c>
      <c r="H147" s="27">
        <f>IF(Weather_Site!M150&lt;180,Weather_Site!M150+180,Weather_Site!M150-180)</f>
        <v>328</v>
      </c>
      <c r="I147" s="172">
        <f t="shared" si="56"/>
        <v>0</v>
      </c>
      <c r="J147" s="214">
        <f t="shared" si="57"/>
        <v>3</v>
      </c>
      <c r="K147" s="27">
        <f t="shared" si="59"/>
        <v>3</v>
      </c>
      <c r="L147" s="172">
        <f t="shared" si="58"/>
        <v>24</v>
      </c>
      <c r="M147" s="32">
        <f>IF(Use_BOM_DF,Weather_Site!H150,IF(0.191*(Weather_Site!K150+104)*(Weather_Site!J150+1)^1.5/(3.52*(Weather_Site!J150+1)^1.5+Weather_Site!I150-1)&gt;10, 10,0.191*(Weather_Site!K150+104)*(Weather_Site!J150+1)^1.5/(3.52*(Weather_Site!J150+1)^1.5+Weather_Site!I150-1)))</f>
        <v>7.882539682539683</v>
      </c>
      <c r="N147" s="32">
        <f t="shared" si="60"/>
        <v>16.208841668109752</v>
      </c>
      <c r="O147" s="33">
        <f t="shared" si="61"/>
        <v>466.81464004156084</v>
      </c>
      <c r="P147" s="33">
        <f t="shared" si="62"/>
        <v>378.16562554717598</v>
      </c>
      <c r="Q147" s="32">
        <f t="shared" si="63"/>
        <v>9.8285903205402896</v>
      </c>
      <c r="R147" s="42">
        <f t="shared" si="64"/>
        <v>1216.8998540603923</v>
      </c>
      <c r="S147" s="42">
        <f t="shared" si="65"/>
        <v>4563.1036811963831</v>
      </c>
      <c r="T147" s="42">
        <f t="shared" si="66"/>
        <v>35187.657142857141</v>
      </c>
      <c r="U147" s="32">
        <f t="shared" si="67"/>
        <v>4.2136038846960435</v>
      </c>
      <c r="V147" s="33">
        <f t="shared" si="68"/>
        <v>3</v>
      </c>
      <c r="W147" s="33">
        <f t="shared" si="69"/>
        <v>7.5</v>
      </c>
      <c r="X147" s="32">
        <f t="shared" si="70"/>
        <v>13.130750887054724</v>
      </c>
      <c r="Y147" s="32">
        <f t="shared" si="71"/>
        <v>4.5182000000000002</v>
      </c>
      <c r="Z147" s="266" t="e">
        <f>IF(Use_BOM_DF,M147/10,MIN(0.972+(0.342*LN(Weather_Site!J150))-(0.245*LN(Weather_Site!I150)),1))</f>
        <v>#NUM!</v>
      </c>
      <c r="AA147" s="33" t="e">
        <f t="shared" si="72"/>
        <v>#NUM!</v>
      </c>
      <c r="AB147" s="33" t="e">
        <f t="shared" si="73"/>
        <v>#NUM!</v>
      </c>
      <c r="AC147" s="33" t="e">
        <f t="shared" si="74"/>
        <v>#NUM!</v>
      </c>
      <c r="AD147" s="32" t="e">
        <f t="shared" si="75"/>
        <v>#NUM!</v>
      </c>
      <c r="AE147" s="32" t="e">
        <f t="shared" si="76"/>
        <v>#NUM!</v>
      </c>
      <c r="AF147" s="42" t="e">
        <f t="shared" si="77"/>
        <v>#NUM!</v>
      </c>
      <c r="AG147" s="83">
        <f t="shared" si="78"/>
        <v>16.517147440538889</v>
      </c>
    </row>
    <row r="148" spans="1:33" x14ac:dyDescent="0.25">
      <c r="A148" s="23" t="str">
        <f>Weather_Site!A151</f>
        <v>Fri</v>
      </c>
      <c r="B148" s="24">
        <f>Weather_Site!B151</f>
        <v>44554</v>
      </c>
      <c r="C148" s="25">
        <f>Weather_Site!C151</f>
        <v>0.95833333333333337</v>
      </c>
      <c r="D148" s="27">
        <f>Weather_Site!D151</f>
        <v>26.7</v>
      </c>
      <c r="E148" s="27">
        <f>Weather_Site!E151</f>
        <v>22</v>
      </c>
      <c r="F148" s="28">
        <f>Weather_Site!F151</f>
        <v>145</v>
      </c>
      <c r="G148" s="27">
        <f>Weather_Site!G151</f>
        <v>9</v>
      </c>
      <c r="H148" s="27">
        <f>IF(Weather_Site!M151&lt;180,Weather_Site!M151+180,Weather_Site!M151-180)</f>
        <v>325</v>
      </c>
      <c r="I148" s="172">
        <f t="shared" si="56"/>
        <v>0</v>
      </c>
      <c r="J148" s="214">
        <f t="shared" si="57"/>
        <v>3</v>
      </c>
      <c r="K148" s="27">
        <f t="shared" si="59"/>
        <v>3</v>
      </c>
      <c r="L148" s="172">
        <f t="shared" si="58"/>
        <v>24</v>
      </c>
      <c r="M148" s="32">
        <f>IF(Use_BOM_DF,Weather_Site!H151,IF(0.191*(Weather_Site!K151+104)*(Weather_Site!J151+1)^1.5/(3.52*(Weather_Site!J151+1)^1.5+Weather_Site!I151-1)&gt;10, 10,0.191*(Weather_Site!K151+104)*(Weather_Site!J151+1)^1.5/(3.52*(Weather_Site!J151+1)^1.5+Weather_Site!I151-1)))</f>
        <v>7.882539682539683</v>
      </c>
      <c r="N148" s="32">
        <f t="shared" si="60"/>
        <v>13.943547763225515</v>
      </c>
      <c r="O148" s="33">
        <f t="shared" si="61"/>
        <v>401.5741755808948</v>
      </c>
      <c r="P148" s="33">
        <f t="shared" si="62"/>
        <v>325.31445307418005</v>
      </c>
      <c r="Q148" s="32">
        <f t="shared" si="63"/>
        <v>8.9804642825516332</v>
      </c>
      <c r="R148" s="42">
        <f t="shared" si="64"/>
        <v>996.51756511226279</v>
      </c>
      <c r="S148" s="42">
        <f t="shared" si="65"/>
        <v>3925.3794583294161</v>
      </c>
      <c r="T148" s="42">
        <f t="shared" si="66"/>
        <v>35187.657142857141</v>
      </c>
      <c r="U148" s="32">
        <f t="shared" si="67"/>
        <v>4.4614729534465871</v>
      </c>
      <c r="V148" s="33">
        <f t="shared" si="68"/>
        <v>3</v>
      </c>
      <c r="W148" s="33">
        <f t="shared" si="69"/>
        <v>7.5</v>
      </c>
      <c r="X148" s="32">
        <f t="shared" si="70"/>
        <v>11.295640731742363</v>
      </c>
      <c r="Y148" s="32">
        <f t="shared" si="71"/>
        <v>5.17</v>
      </c>
      <c r="Z148" s="266" t="e">
        <f>IF(Use_BOM_DF,M148/10,MIN(0.972+(0.342*LN(Weather_Site!J151))-(0.245*LN(Weather_Site!I151)),1))</f>
        <v>#NUM!</v>
      </c>
      <c r="AA148" s="33" t="e">
        <f t="shared" si="72"/>
        <v>#NUM!</v>
      </c>
      <c r="AB148" s="33" t="e">
        <f t="shared" si="73"/>
        <v>#NUM!</v>
      </c>
      <c r="AC148" s="33" t="e">
        <f t="shared" si="74"/>
        <v>#NUM!</v>
      </c>
      <c r="AD148" s="32" t="e">
        <f t="shared" si="75"/>
        <v>#NUM!</v>
      </c>
      <c r="AE148" s="32" t="e">
        <f t="shared" si="76"/>
        <v>#NUM!</v>
      </c>
      <c r="AF148" s="42" t="e">
        <f t="shared" si="77"/>
        <v>#NUM!</v>
      </c>
      <c r="AG148" s="83">
        <f t="shared" si="78"/>
        <v>14.648847979980017</v>
      </c>
    </row>
    <row r="149" spans="1:33" x14ac:dyDescent="0.25">
      <c r="A149" s="23" t="str">
        <f>Weather_Site!A152</f>
        <v>Sat</v>
      </c>
      <c r="B149" s="24">
        <f>Weather_Site!B152</f>
        <v>44555</v>
      </c>
      <c r="C149" s="25">
        <f>Weather_Site!C152</f>
        <v>0</v>
      </c>
      <c r="D149" s="27">
        <f>Weather_Site!D152</f>
        <v>26</v>
      </c>
      <c r="E149" s="27">
        <f>Weather_Site!E152</f>
        <v>23.4</v>
      </c>
      <c r="F149" s="28">
        <f>Weather_Site!F152</f>
        <v>131</v>
      </c>
      <c r="G149" s="27">
        <f>Weather_Site!G152</f>
        <v>9</v>
      </c>
      <c r="H149" s="27">
        <f>IF(Weather_Site!M152&lt;180,Weather_Site!M152+180,Weather_Site!M152-180)</f>
        <v>311</v>
      </c>
      <c r="I149" s="172">
        <f t="shared" si="56"/>
        <v>0</v>
      </c>
      <c r="J149" s="214">
        <f t="shared" si="57"/>
        <v>3</v>
      </c>
      <c r="K149" s="27">
        <f t="shared" si="59"/>
        <v>3</v>
      </c>
      <c r="L149" s="172">
        <f t="shared" si="58"/>
        <v>24</v>
      </c>
      <c r="M149" s="32">
        <f>IF(Use_BOM_DF,Weather_Site!H152,IF(0.191*(Weather_Site!K152+104)*(Weather_Site!J152+1)^1.5/(3.52*(Weather_Site!J152+1)^1.5+Weather_Site!I152-1)&gt;10, 10,0.191*(Weather_Site!K152+104)*(Weather_Site!J152+1)^1.5/(3.52*(Weather_Site!J152+1)^1.5+Weather_Site!I152-1)))</f>
        <v>7.882539682539683</v>
      </c>
      <c r="N149" s="32">
        <f t="shared" si="60"/>
        <v>12.975420997360271</v>
      </c>
      <c r="O149" s="33">
        <f t="shared" si="61"/>
        <v>373.69212472397572</v>
      </c>
      <c r="P149" s="33">
        <f t="shared" si="62"/>
        <v>302.72725828760213</v>
      </c>
      <c r="Q149" s="32">
        <f t="shared" si="63"/>
        <v>8.6179976214116838</v>
      </c>
      <c r="R149" s="42">
        <f t="shared" si="64"/>
        <v>902.33199731758998</v>
      </c>
      <c r="S149" s="42">
        <f t="shared" si="65"/>
        <v>3652.8329741549164</v>
      </c>
      <c r="T149" s="42">
        <f t="shared" si="66"/>
        <v>35187.657142857141</v>
      </c>
      <c r="U149" s="32">
        <f t="shared" si="67"/>
        <v>4.5972305881072737</v>
      </c>
      <c r="V149" s="33">
        <f t="shared" si="68"/>
        <v>3</v>
      </c>
      <c r="W149" s="33">
        <f t="shared" si="69"/>
        <v>7.5</v>
      </c>
      <c r="X149" s="32">
        <f t="shared" si="70"/>
        <v>10.511363134986185</v>
      </c>
      <c r="Y149" s="32">
        <f t="shared" si="71"/>
        <v>7.8078000000000012</v>
      </c>
      <c r="Z149" s="266" t="e">
        <f>IF(Use_BOM_DF,M149/10,MIN(0.972+(0.342*LN(Weather_Site!J152))-(0.245*LN(Weather_Site!I152)),1))</f>
        <v>#NUM!</v>
      </c>
      <c r="AA149" s="33" t="e">
        <f t="shared" si="72"/>
        <v>#NUM!</v>
      </c>
      <c r="AB149" s="33" t="e">
        <f t="shared" si="73"/>
        <v>#NUM!</v>
      </c>
      <c r="AC149" s="33" t="e">
        <f t="shared" si="74"/>
        <v>#NUM!</v>
      </c>
      <c r="AD149" s="32" t="e">
        <f t="shared" si="75"/>
        <v>#NUM!</v>
      </c>
      <c r="AE149" s="32" t="e">
        <f t="shared" si="76"/>
        <v>#NUM!</v>
      </c>
      <c r="AF149" s="42" t="e">
        <f t="shared" si="77"/>
        <v>#NUM!</v>
      </c>
      <c r="AG149" s="83">
        <f t="shared" si="78"/>
        <v>13.755159273034264</v>
      </c>
    </row>
    <row r="150" spans="1:33" x14ac:dyDescent="0.25">
      <c r="A150" s="23" t="str">
        <f>Weather_Site!A153</f>
        <v>Sat</v>
      </c>
      <c r="B150" s="24">
        <f>Weather_Site!B153</f>
        <v>44555</v>
      </c>
      <c r="C150" s="25">
        <f>Weather_Site!C153</f>
        <v>4.1666666666666664E-2</v>
      </c>
      <c r="D150" s="27">
        <f>Weather_Site!D153</f>
        <v>24.8</v>
      </c>
      <c r="E150" s="27">
        <f>Weather_Site!E153</f>
        <v>25</v>
      </c>
      <c r="F150" s="28">
        <f>Weather_Site!F153</f>
        <v>122</v>
      </c>
      <c r="G150" s="27">
        <f>Weather_Site!G153</f>
        <v>10</v>
      </c>
      <c r="H150" s="27">
        <f>IF(Weather_Site!M153&lt;180,Weather_Site!M153+180,Weather_Site!M153-180)</f>
        <v>302</v>
      </c>
      <c r="I150" s="172">
        <f t="shared" si="56"/>
        <v>0</v>
      </c>
      <c r="J150" s="214">
        <f t="shared" si="57"/>
        <v>3</v>
      </c>
      <c r="K150" s="27">
        <f t="shared" si="59"/>
        <v>3.3333333333333335</v>
      </c>
      <c r="L150" s="172">
        <f t="shared" si="58"/>
        <v>24</v>
      </c>
      <c r="M150" s="32">
        <f>IF(Use_BOM_DF,Weather_Site!H153,IF(0.191*(Weather_Site!K153+104)*(Weather_Site!J153+1)^1.5/(3.52*(Weather_Site!J153+1)^1.5+Weather_Site!I153-1)&gt;10, 10,0.191*(Weather_Site!K153+104)*(Weather_Site!J153+1)^1.5/(3.52*(Weather_Site!J153+1)^1.5+Weather_Site!I153-1)))</f>
        <v>7.882539682539683</v>
      </c>
      <c r="N150" s="32">
        <f t="shared" si="60"/>
        <v>12.069684255659739</v>
      </c>
      <c r="O150" s="33">
        <f t="shared" si="61"/>
        <v>347.60690656300039</v>
      </c>
      <c r="P150" s="33">
        <f t="shared" si="62"/>
        <v>275.08283279554257</v>
      </c>
      <c r="Q150" s="32">
        <f t="shared" si="63"/>
        <v>8.2788897853190058</v>
      </c>
      <c r="R150" s="42">
        <f t="shared" si="64"/>
        <v>814.21613036981557</v>
      </c>
      <c r="S150" s="42">
        <f t="shared" si="65"/>
        <v>3397.8504933043587</v>
      </c>
      <c r="T150" s="42">
        <f t="shared" si="66"/>
        <v>35187.657142857141</v>
      </c>
      <c r="U150" s="32">
        <f t="shared" si="67"/>
        <v>4.7770552306609035</v>
      </c>
      <c r="V150" s="33">
        <f t="shared" si="68"/>
        <v>3.3333333333333335</v>
      </c>
      <c r="W150" s="33">
        <f t="shared" si="69"/>
        <v>8.3333333333333339</v>
      </c>
      <c r="X150" s="32">
        <f t="shared" si="70"/>
        <v>9.5514872498452306</v>
      </c>
      <c r="Y150" s="32">
        <f t="shared" si="71"/>
        <v>8.3254000000000001</v>
      </c>
      <c r="Z150" s="266" t="e">
        <f>IF(Use_BOM_DF,M150/10,MIN(0.972+(0.342*LN(Weather_Site!J153))-(0.245*LN(Weather_Site!I153)),1))</f>
        <v>#NUM!</v>
      </c>
      <c r="AA150" s="33" t="e">
        <f t="shared" si="72"/>
        <v>#NUM!</v>
      </c>
      <c r="AB150" s="33" t="e">
        <f t="shared" si="73"/>
        <v>#NUM!</v>
      </c>
      <c r="AC150" s="33" t="e">
        <f t="shared" si="74"/>
        <v>#NUM!</v>
      </c>
      <c r="AD150" s="32" t="e">
        <f t="shared" si="75"/>
        <v>#NUM!</v>
      </c>
      <c r="AE150" s="32" t="e">
        <f t="shared" si="76"/>
        <v>#NUM!</v>
      </c>
      <c r="AF150" s="42" t="e">
        <f t="shared" si="77"/>
        <v>#NUM!</v>
      </c>
      <c r="AG150" s="83">
        <f t="shared" si="78"/>
        <v>12.990736305884605</v>
      </c>
    </row>
    <row r="151" spans="1:33" x14ac:dyDescent="0.25">
      <c r="A151" s="23" t="str">
        <f>Weather_Site!A154</f>
        <v>Sat</v>
      </c>
      <c r="B151" s="24">
        <f>Weather_Site!B154</f>
        <v>44555</v>
      </c>
      <c r="C151" s="25">
        <f>Weather_Site!C154</f>
        <v>8.3333333333333329E-2</v>
      </c>
      <c r="D151" s="27">
        <f>Weather_Site!D154</f>
        <v>23.8</v>
      </c>
      <c r="E151" s="27">
        <f>Weather_Site!E154</f>
        <v>26.7</v>
      </c>
      <c r="F151" s="28">
        <f>Weather_Site!F154</f>
        <v>123</v>
      </c>
      <c r="G151" s="27">
        <f>Weather_Site!G154</f>
        <v>10</v>
      </c>
      <c r="H151" s="27">
        <f>IF(Weather_Site!M154&lt;180,Weather_Site!M154+180,Weather_Site!M154-180)</f>
        <v>303</v>
      </c>
      <c r="I151" s="172">
        <f t="shared" si="56"/>
        <v>0</v>
      </c>
      <c r="J151" s="214">
        <f t="shared" si="57"/>
        <v>3</v>
      </c>
      <c r="K151" s="27">
        <f t="shared" si="59"/>
        <v>3.3333333333333335</v>
      </c>
      <c r="L151" s="172">
        <f t="shared" si="58"/>
        <v>24</v>
      </c>
      <c r="M151" s="32">
        <f>IF(Use_BOM_DF,Weather_Site!H154,IF(0.191*(Weather_Site!K154+104)*(Weather_Site!J154+1)^1.5/(3.52*(Weather_Site!J154+1)^1.5+Weather_Site!I154-1)&gt;10, 10,0.191*(Weather_Site!K154+104)*(Weather_Site!J154+1)^1.5/(3.52*(Weather_Site!J154+1)^1.5+Weather_Site!I154-1)))</f>
        <v>7.882539682539683</v>
      </c>
      <c r="N151" s="32">
        <f t="shared" si="60"/>
        <v>11.003868307923179</v>
      </c>
      <c r="O151" s="33">
        <f t="shared" si="61"/>
        <v>316.91140726818759</v>
      </c>
      <c r="P151" s="33">
        <f t="shared" si="62"/>
        <v>250.79158673377776</v>
      </c>
      <c r="Q151" s="32">
        <f t="shared" si="63"/>
        <v>7.8798482944864396</v>
      </c>
      <c r="R151" s="42">
        <f t="shared" si="64"/>
        <v>710.52673375193751</v>
      </c>
      <c r="S151" s="42">
        <f t="shared" si="65"/>
        <v>3097.8026074543113</v>
      </c>
      <c r="T151" s="42">
        <f t="shared" si="66"/>
        <v>35187.657142857141</v>
      </c>
      <c r="U151" s="32">
        <f t="shared" si="67"/>
        <v>4.9706608880403023</v>
      </c>
      <c r="V151" s="33">
        <f t="shared" si="68"/>
        <v>3.3333333333333335</v>
      </c>
      <c r="W151" s="33">
        <f t="shared" si="69"/>
        <v>8.3333333333333339</v>
      </c>
      <c r="X151" s="32">
        <f t="shared" si="70"/>
        <v>8.7080412060339523</v>
      </c>
      <c r="Y151" s="32">
        <f t="shared" si="71"/>
        <v>8.7978000000000005</v>
      </c>
      <c r="Z151" s="266" t="e">
        <f>IF(Use_BOM_DF,M151/10,MIN(0.972+(0.342*LN(Weather_Site!J154))-(0.245*LN(Weather_Site!I154)),1))</f>
        <v>#NUM!</v>
      </c>
      <c r="AA151" s="33" t="e">
        <f t="shared" si="72"/>
        <v>#NUM!</v>
      </c>
      <c r="AB151" s="33" t="e">
        <f t="shared" si="73"/>
        <v>#NUM!</v>
      </c>
      <c r="AC151" s="33" t="e">
        <f t="shared" si="74"/>
        <v>#NUM!</v>
      </c>
      <c r="AD151" s="32" t="e">
        <f t="shared" si="75"/>
        <v>#NUM!</v>
      </c>
      <c r="AE151" s="32" t="e">
        <f t="shared" si="76"/>
        <v>#NUM!</v>
      </c>
      <c r="AF151" s="42" t="e">
        <f t="shared" si="77"/>
        <v>#NUM!</v>
      </c>
      <c r="AG151" s="83">
        <f t="shared" si="78"/>
        <v>11.950900597343555</v>
      </c>
    </row>
    <row r="152" spans="1:33" x14ac:dyDescent="0.25">
      <c r="A152" s="23" t="str">
        <f>Weather_Site!A155</f>
        <v>Sat</v>
      </c>
      <c r="B152" s="24">
        <f>Weather_Site!B155</f>
        <v>44555</v>
      </c>
      <c r="C152" s="25">
        <f>Weather_Site!C155</f>
        <v>0.125</v>
      </c>
      <c r="D152" s="27">
        <f>Weather_Site!D155</f>
        <v>22.5</v>
      </c>
      <c r="E152" s="27">
        <f>Weather_Site!E155</f>
        <v>32.700000000000003</v>
      </c>
      <c r="F152" s="28">
        <f>Weather_Site!F155</f>
        <v>121</v>
      </c>
      <c r="G152" s="27">
        <f>Weather_Site!G155</f>
        <v>10</v>
      </c>
      <c r="H152" s="27">
        <f>IF(Weather_Site!M155&lt;180,Weather_Site!M155+180,Weather_Site!M155-180)</f>
        <v>301</v>
      </c>
      <c r="I152" s="172">
        <f t="shared" si="56"/>
        <v>0</v>
      </c>
      <c r="J152" s="214">
        <f t="shared" si="57"/>
        <v>3</v>
      </c>
      <c r="K152" s="27">
        <f t="shared" si="59"/>
        <v>3.3333333333333335</v>
      </c>
      <c r="L152" s="172">
        <f t="shared" si="58"/>
        <v>24</v>
      </c>
      <c r="M152" s="32">
        <f>IF(Use_BOM_DF,Weather_Site!H155,IF(0.191*(Weather_Site!K155+104)*(Weather_Site!J155+1)^1.5/(3.52*(Weather_Site!J155+1)^1.5+Weather_Site!I155-1)&gt;10, 10,0.191*(Weather_Site!K155+104)*(Weather_Site!J155+1)^1.5/(3.52*(Weather_Site!J155+1)^1.5+Weather_Site!I155-1)))</f>
        <v>7.882539682539683</v>
      </c>
      <c r="N152" s="32">
        <f t="shared" si="60"/>
        <v>8.5617694080064446</v>
      </c>
      <c r="O152" s="33">
        <f t="shared" si="61"/>
        <v>246.57895895058559</v>
      </c>
      <c r="P152" s="33">
        <f t="shared" si="62"/>
        <v>195.13317271677803</v>
      </c>
      <c r="Q152" s="32">
        <f t="shared" si="63"/>
        <v>6.9655264663576126</v>
      </c>
      <c r="R152" s="42">
        <f t="shared" si="64"/>
        <v>472.94372333507818</v>
      </c>
      <c r="S152" s="42">
        <f t="shared" si="65"/>
        <v>2410.3043451953749</v>
      </c>
      <c r="T152" s="42">
        <f t="shared" si="66"/>
        <v>35187.657142857141</v>
      </c>
      <c r="U152" s="32">
        <f t="shared" si="67"/>
        <v>5.6327876214068135</v>
      </c>
      <c r="V152" s="33">
        <f t="shared" si="68"/>
        <v>3.3333333333333335</v>
      </c>
      <c r="W152" s="33">
        <f t="shared" si="69"/>
        <v>8.3333333333333339</v>
      </c>
      <c r="X152" s="32">
        <f t="shared" si="70"/>
        <v>6.7754573859992382</v>
      </c>
      <c r="Y152" s="32">
        <f t="shared" si="71"/>
        <v>9.8364000000000011</v>
      </c>
      <c r="Z152" s="266" t="e">
        <f>IF(Use_BOM_DF,M152/10,MIN(0.972+(0.342*LN(Weather_Site!J155))-(0.245*LN(Weather_Site!I155)),1))</f>
        <v>#NUM!</v>
      </c>
      <c r="AA152" s="33" t="e">
        <f t="shared" si="72"/>
        <v>#NUM!</v>
      </c>
      <c r="AB152" s="33" t="e">
        <f t="shared" si="73"/>
        <v>#NUM!</v>
      </c>
      <c r="AC152" s="33" t="e">
        <f t="shared" si="74"/>
        <v>#NUM!</v>
      </c>
      <c r="AD152" s="32" t="e">
        <f t="shared" si="75"/>
        <v>#NUM!</v>
      </c>
      <c r="AE152" s="32" t="e">
        <f t="shared" si="76"/>
        <v>#NUM!</v>
      </c>
      <c r="AF152" s="42" t="e">
        <f t="shared" si="77"/>
        <v>#NUM!</v>
      </c>
      <c r="AG152" s="83">
        <f t="shared" si="78"/>
        <v>9.1907557999024618</v>
      </c>
    </row>
    <row r="153" spans="1:33" x14ac:dyDescent="0.25">
      <c r="A153" s="23" t="str">
        <f>Weather_Site!A156</f>
        <v>Sat</v>
      </c>
      <c r="B153" s="24">
        <f>Weather_Site!B156</f>
        <v>44555</v>
      </c>
      <c r="C153" s="25">
        <f>Weather_Site!C156</f>
        <v>0.16666666666666666</v>
      </c>
      <c r="D153" s="27">
        <f>Weather_Site!D156</f>
        <v>21.6</v>
      </c>
      <c r="E153" s="27">
        <f>Weather_Site!E156</f>
        <v>38.4</v>
      </c>
      <c r="F153" s="28">
        <f>Weather_Site!F156</f>
        <v>119</v>
      </c>
      <c r="G153" s="27">
        <f>Weather_Site!G156</f>
        <v>9</v>
      </c>
      <c r="H153" s="27">
        <f>IF(Weather_Site!M156&lt;180,Weather_Site!M156+180,Weather_Site!M156-180)</f>
        <v>299</v>
      </c>
      <c r="I153" s="172">
        <f t="shared" si="56"/>
        <v>0</v>
      </c>
      <c r="J153" s="214">
        <f t="shared" si="57"/>
        <v>3</v>
      </c>
      <c r="K153" s="27">
        <f t="shared" si="59"/>
        <v>3</v>
      </c>
      <c r="L153" s="172">
        <f t="shared" si="58"/>
        <v>24</v>
      </c>
      <c r="M153" s="32">
        <f>IF(Use_BOM_DF,Weather_Site!H156,IF(0.191*(Weather_Site!K156+104)*(Weather_Site!J156+1)^1.5/(3.52*(Weather_Site!J156+1)^1.5+Weather_Site!I156-1)&gt;10, 10,0.191*(Weather_Site!K156+104)*(Weather_Site!J156+1)^1.5/(3.52*(Weather_Site!J156+1)^1.5+Weather_Site!I156-1)))</f>
        <v>7.882539682539683</v>
      </c>
      <c r="N153" s="32">
        <f t="shared" si="60"/>
        <v>6.6647795368096787</v>
      </c>
      <c r="O153" s="33">
        <f t="shared" si="61"/>
        <v>191.9456506601187</v>
      </c>
      <c r="P153" s="33">
        <f t="shared" si="62"/>
        <v>155.49479563554607</v>
      </c>
      <c r="Q153" s="32">
        <f t="shared" si="63"/>
        <v>6.2552934585815425</v>
      </c>
      <c r="R153" s="42">
        <f t="shared" si="64"/>
        <v>288.39240792988096</v>
      </c>
      <c r="S153" s="42">
        <f t="shared" si="65"/>
        <v>1876.2648597285711</v>
      </c>
      <c r="T153" s="42">
        <f t="shared" si="66"/>
        <v>35187.657142857141</v>
      </c>
      <c r="U153" s="32">
        <f t="shared" si="67"/>
        <v>6.3466646219855161</v>
      </c>
      <c r="V153" s="33">
        <f t="shared" si="68"/>
        <v>3</v>
      </c>
      <c r="W153" s="33">
        <f t="shared" si="69"/>
        <v>7.5</v>
      </c>
      <c r="X153" s="32">
        <f t="shared" si="70"/>
        <v>5.399124848456462</v>
      </c>
      <c r="Y153" s="32">
        <f t="shared" si="71"/>
        <v>10.7286</v>
      </c>
      <c r="Z153" s="266" t="e">
        <f>IF(Use_BOM_DF,M153/10,MIN(0.972+(0.342*LN(Weather_Site!J156))-(0.245*LN(Weather_Site!I156)),1))</f>
        <v>#NUM!</v>
      </c>
      <c r="AA153" s="33" t="e">
        <f t="shared" si="72"/>
        <v>#NUM!</v>
      </c>
      <c r="AB153" s="33" t="e">
        <f t="shared" si="73"/>
        <v>#NUM!</v>
      </c>
      <c r="AC153" s="33" t="e">
        <f t="shared" si="74"/>
        <v>#NUM!</v>
      </c>
      <c r="AD153" s="32" t="e">
        <f t="shared" si="75"/>
        <v>#NUM!</v>
      </c>
      <c r="AE153" s="32" t="e">
        <f t="shared" si="76"/>
        <v>#NUM!</v>
      </c>
      <c r="AF153" s="42" t="e">
        <f t="shared" si="77"/>
        <v>#NUM!</v>
      </c>
      <c r="AG153" s="83">
        <f t="shared" si="78"/>
        <v>6.9881492812102106</v>
      </c>
    </row>
    <row r="154" spans="1:33" x14ac:dyDescent="0.25">
      <c r="A154" s="23" t="str">
        <f>Weather_Site!A157</f>
        <v>Sat</v>
      </c>
      <c r="B154" s="24">
        <f>Weather_Site!B157</f>
        <v>44555</v>
      </c>
      <c r="C154" s="25">
        <f>Weather_Site!C157</f>
        <v>0.20833333333333334</v>
      </c>
      <c r="D154" s="27">
        <f>Weather_Site!D157</f>
        <v>20.7</v>
      </c>
      <c r="E154" s="27">
        <f>Weather_Site!E157</f>
        <v>44.9</v>
      </c>
      <c r="F154" s="28">
        <f>Weather_Site!F157</f>
        <v>117</v>
      </c>
      <c r="G154" s="27">
        <f>Weather_Site!G157</f>
        <v>9</v>
      </c>
      <c r="H154" s="27">
        <f>IF(Weather_Site!M157&lt;180,Weather_Site!M157+180,Weather_Site!M157-180)</f>
        <v>297</v>
      </c>
      <c r="I154" s="172">
        <f t="shared" ref="I154:I174" si="79">C$5</f>
        <v>0</v>
      </c>
      <c r="J154" s="214">
        <f t="shared" ref="J154:J174" si="80">J$4</f>
        <v>3</v>
      </c>
      <c r="K154" s="27">
        <f t="shared" si="59"/>
        <v>3</v>
      </c>
      <c r="L154" s="172">
        <f t="shared" ref="L154:L174" si="81">C$4</f>
        <v>24</v>
      </c>
      <c r="M154" s="32">
        <f>IF(Use_BOM_DF,Weather_Site!H157,IF(0.191*(Weather_Site!K157+104)*(Weather_Site!J157+1)^1.5/(3.52*(Weather_Site!J157+1)^1.5+Weather_Site!I157-1)&gt;10, 10,0.191*(Weather_Site!K157+104)*(Weather_Site!J157+1)^1.5/(3.52*(Weather_Site!J157+1)^1.5+Weather_Site!I157-1)))</f>
        <v>7.882539682539683</v>
      </c>
      <c r="N154" s="32">
        <f t="shared" si="60"/>
        <v>5.1663522333072853</v>
      </c>
      <c r="O154" s="33">
        <f t="shared" si="61"/>
        <v>148.7909443192498</v>
      </c>
      <c r="P154" s="33">
        <f t="shared" si="62"/>
        <v>120.5352525559922</v>
      </c>
      <c r="Q154" s="32">
        <f t="shared" si="63"/>
        <v>5.694282276150247</v>
      </c>
      <c r="R154" s="42">
        <f t="shared" si="64"/>
        <v>142.6158099104259</v>
      </c>
      <c r="S154" s="42">
        <f t="shared" si="65"/>
        <v>1454.4284765606485</v>
      </c>
      <c r="T154" s="42">
        <f t="shared" si="66"/>
        <v>35187.657142857141</v>
      </c>
      <c r="U154" s="32">
        <f t="shared" si="67"/>
        <v>7.2883242173259157</v>
      </c>
      <c r="V154" s="33">
        <f t="shared" si="68"/>
        <v>3</v>
      </c>
      <c r="W154" s="33">
        <f t="shared" si="69"/>
        <v>7.5</v>
      </c>
      <c r="X154" s="32">
        <f t="shared" si="70"/>
        <v>4.185251824860841</v>
      </c>
      <c r="Y154" s="32">
        <f t="shared" si="71"/>
        <v>11.710400000000002</v>
      </c>
      <c r="Z154" s="266" t="e">
        <f>IF(Use_BOM_DF,M154/10,MIN(0.972+(0.342*LN(Weather_Site!J157))-(0.245*LN(Weather_Site!I157)),1))</f>
        <v>#NUM!</v>
      </c>
      <c r="AA154" s="33" t="e">
        <f t="shared" si="72"/>
        <v>#NUM!</v>
      </c>
      <c r="AB154" s="33" t="e">
        <f t="shared" si="73"/>
        <v>#NUM!</v>
      </c>
      <c r="AC154" s="33" t="e">
        <f t="shared" si="74"/>
        <v>#NUM!</v>
      </c>
      <c r="AD154" s="32" t="e">
        <f t="shared" si="75"/>
        <v>#NUM!</v>
      </c>
      <c r="AE154" s="32" t="e">
        <f t="shared" si="76"/>
        <v>#NUM!</v>
      </c>
      <c r="AF154" s="42" t="e">
        <f t="shared" si="77"/>
        <v>#NUM!</v>
      </c>
      <c r="AG154" s="83">
        <f t="shared" si="78"/>
        <v>5.2262441171984069</v>
      </c>
    </row>
    <row r="155" spans="1:33" x14ac:dyDescent="0.25">
      <c r="A155" s="23" t="str">
        <f>Weather_Site!A158</f>
        <v>Sat</v>
      </c>
      <c r="B155" s="24">
        <f>Weather_Site!B158</f>
        <v>44555</v>
      </c>
      <c r="C155" s="25">
        <f>Weather_Site!C158</f>
        <v>0.25</v>
      </c>
      <c r="D155" s="27">
        <f>Weather_Site!D158</f>
        <v>20.6</v>
      </c>
      <c r="E155" s="27">
        <f>Weather_Site!E158</f>
        <v>46.4</v>
      </c>
      <c r="F155" s="28">
        <f>Weather_Site!F158</f>
        <v>113</v>
      </c>
      <c r="G155" s="27">
        <f>Weather_Site!G158</f>
        <v>9</v>
      </c>
      <c r="H155" s="27">
        <f>IF(Weather_Site!M158&lt;180,Weather_Site!M158+180,Weather_Site!M158-180)</f>
        <v>293</v>
      </c>
      <c r="I155" s="172">
        <f t="shared" si="79"/>
        <v>0</v>
      </c>
      <c r="J155" s="214">
        <f t="shared" si="80"/>
        <v>3</v>
      </c>
      <c r="K155" s="27">
        <f t="shared" si="59"/>
        <v>3</v>
      </c>
      <c r="L155" s="172">
        <f t="shared" si="81"/>
        <v>24</v>
      </c>
      <c r="M155" s="32">
        <f>IF(Use_BOM_DF,Weather_Site!H158,IF(0.191*(Weather_Site!K158+104)*(Weather_Site!J158+1)^1.5/(3.52*(Weather_Site!J158+1)^1.5+Weather_Site!I158-1)&gt;10, 10,0.191*(Weather_Site!K158+104)*(Weather_Site!J158+1)^1.5/(3.52*(Weather_Site!J158+1)^1.5+Weather_Site!I158-1)))</f>
        <v>7.882539682539683</v>
      </c>
      <c r="N155" s="32">
        <f t="shared" si="60"/>
        <v>4.8892400154037867</v>
      </c>
      <c r="O155" s="33">
        <f t="shared" si="61"/>
        <v>140.81011244362904</v>
      </c>
      <c r="P155" s="33">
        <f t="shared" si="62"/>
        <v>114.06999628561849</v>
      </c>
      <c r="Q155" s="32">
        <f t="shared" si="63"/>
        <v>5.5905314617671777</v>
      </c>
      <c r="R155" s="42">
        <f t="shared" si="64"/>
        <v>115.6565598345789</v>
      </c>
      <c r="S155" s="42">
        <f t="shared" si="65"/>
        <v>1376.4160061132513</v>
      </c>
      <c r="T155" s="42">
        <f t="shared" si="66"/>
        <v>35187.657142857141</v>
      </c>
      <c r="U155" s="32">
        <f t="shared" si="67"/>
        <v>7.5164422617997557</v>
      </c>
      <c r="V155" s="33">
        <f t="shared" si="68"/>
        <v>3</v>
      </c>
      <c r="W155" s="33">
        <f t="shared" si="69"/>
        <v>7.5</v>
      </c>
      <c r="X155" s="32">
        <f t="shared" si="70"/>
        <v>3.9607637599173087</v>
      </c>
      <c r="Y155" s="32">
        <f t="shared" si="71"/>
        <v>11.906600000000001</v>
      </c>
      <c r="Z155" s="32" t="e">
        <f>IF(Use_BOM_DF,M155/10,MIN(0.972+(0.342*LN(Weather_Site!J158))-(0.245*LN(Weather_Site!I158)),1))</f>
        <v>#NUM!</v>
      </c>
      <c r="AA155" s="33" t="e">
        <f t="shared" si="72"/>
        <v>#NUM!</v>
      </c>
      <c r="AB155" s="33" t="e">
        <f t="shared" si="73"/>
        <v>#NUM!</v>
      </c>
      <c r="AC155" s="33" t="e">
        <f t="shared" si="74"/>
        <v>#NUM!</v>
      </c>
      <c r="AD155" s="32" t="e">
        <f t="shared" si="75"/>
        <v>#NUM!</v>
      </c>
      <c r="AE155" s="32" t="e">
        <f t="shared" si="76"/>
        <v>#NUM!</v>
      </c>
      <c r="AF155" s="42" t="e">
        <f t="shared" si="77"/>
        <v>#NUM!</v>
      </c>
      <c r="AG155" s="83">
        <f t="shared" si="78"/>
        <v>4.8987124052779141</v>
      </c>
    </row>
    <row r="156" spans="1:33" x14ac:dyDescent="0.25">
      <c r="A156" s="23" t="str">
        <f>Weather_Site!A159</f>
        <v>Sat</v>
      </c>
      <c r="B156" s="24">
        <f>Weather_Site!B159</f>
        <v>44555</v>
      </c>
      <c r="C156" s="25">
        <f>Weather_Site!C159</f>
        <v>0.29166666666666669</v>
      </c>
      <c r="D156" s="27">
        <f>Weather_Site!D159</f>
        <v>22.2</v>
      </c>
      <c r="E156" s="27">
        <f>Weather_Site!E159</f>
        <v>42.7</v>
      </c>
      <c r="F156" s="28">
        <f>Weather_Site!F159</f>
        <v>111</v>
      </c>
      <c r="G156" s="27">
        <f>Weather_Site!G159</f>
        <v>10</v>
      </c>
      <c r="H156" s="27">
        <f>IF(Weather_Site!M159&lt;180,Weather_Site!M159+180,Weather_Site!M159-180)</f>
        <v>291</v>
      </c>
      <c r="I156" s="172">
        <f t="shared" si="79"/>
        <v>0</v>
      </c>
      <c r="J156" s="214">
        <f t="shared" si="80"/>
        <v>3</v>
      </c>
      <c r="K156" s="27">
        <f t="shared" si="59"/>
        <v>3.3333333333333335</v>
      </c>
      <c r="L156" s="172">
        <f t="shared" si="81"/>
        <v>24</v>
      </c>
      <c r="M156" s="32">
        <f>IF(Use_BOM_DF,Weather_Site!H159,IF(0.191*(Weather_Site!K159+104)*(Weather_Site!J159+1)^1.5/(3.52*(Weather_Site!J159+1)^1.5+Weather_Site!I159-1)&gt;10, 10,0.191*(Weather_Site!K159+104)*(Weather_Site!J159+1)^1.5/(3.52*(Weather_Site!J159+1)^1.5+Weather_Site!I159-1)))</f>
        <v>7.882539682539683</v>
      </c>
      <c r="N156" s="32">
        <f t="shared" si="60"/>
        <v>6.0024449346521429</v>
      </c>
      <c r="O156" s="33">
        <f t="shared" si="61"/>
        <v>172.87041411798171</v>
      </c>
      <c r="P156" s="33">
        <f t="shared" si="62"/>
        <v>136.80304483102753</v>
      </c>
      <c r="Q156" s="32">
        <f t="shared" si="63"/>
        <v>6.0073153835337614</v>
      </c>
      <c r="R156" s="42">
        <f t="shared" si="64"/>
        <v>223.95625889054227</v>
      </c>
      <c r="S156" s="42">
        <f t="shared" si="65"/>
        <v>1689.8048076672912</v>
      </c>
      <c r="T156" s="42">
        <f t="shared" si="66"/>
        <v>35187.657142857141</v>
      </c>
      <c r="U156" s="32">
        <f t="shared" si="67"/>
        <v>6.835191966083439</v>
      </c>
      <c r="V156" s="33">
        <f t="shared" si="68"/>
        <v>3.3333333333333335</v>
      </c>
      <c r="W156" s="33">
        <f t="shared" si="69"/>
        <v>8.3333333333333339</v>
      </c>
      <c r="X156" s="32">
        <f t="shared" si="70"/>
        <v>4.7501057232995683</v>
      </c>
      <c r="Y156" s="32">
        <f t="shared" si="71"/>
        <v>11.041</v>
      </c>
      <c r="Z156" s="32" t="e">
        <f>IF(Use_BOM_DF,M156/10,MIN(0.972+(0.342*LN(Weather_Site!J159))-(0.245*LN(Weather_Site!I159)),1))</f>
        <v>#NUM!</v>
      </c>
      <c r="AA156" s="33" t="e">
        <f t="shared" si="72"/>
        <v>#NUM!</v>
      </c>
      <c r="AB156" s="33" t="e">
        <f t="shared" si="73"/>
        <v>#NUM!</v>
      </c>
      <c r="AC156" s="33" t="e">
        <f t="shared" si="74"/>
        <v>#NUM!</v>
      </c>
      <c r="AD156" s="32" t="e">
        <f t="shared" si="75"/>
        <v>#NUM!</v>
      </c>
      <c r="AE156" s="32" t="e">
        <f t="shared" si="76"/>
        <v>#NUM!</v>
      </c>
      <c r="AF156" s="42" t="e">
        <f t="shared" si="77"/>
        <v>#NUM!</v>
      </c>
      <c r="AG156" s="83">
        <f t="shared" si="78"/>
        <v>6.1220068953902063</v>
      </c>
    </row>
    <row r="157" spans="1:33" x14ac:dyDescent="0.25">
      <c r="A157" s="23" t="str">
        <f>Weather_Site!A160</f>
        <v>Sat</v>
      </c>
      <c r="B157" s="24">
        <f>Weather_Site!B160</f>
        <v>44555</v>
      </c>
      <c r="C157" s="25">
        <f>Weather_Site!C160</f>
        <v>0.33333333333333331</v>
      </c>
      <c r="D157" s="27">
        <f>Weather_Site!D160</f>
        <v>25.5</v>
      </c>
      <c r="E157" s="27">
        <f>Weather_Site!E160</f>
        <v>35.700000000000003</v>
      </c>
      <c r="F157" s="28">
        <f>Weather_Site!F160</f>
        <v>98</v>
      </c>
      <c r="G157" s="27">
        <f>Weather_Site!G160</f>
        <v>14</v>
      </c>
      <c r="H157" s="27">
        <f>IF(Weather_Site!M160&lt;180,Weather_Site!M160+180,Weather_Site!M160-180)</f>
        <v>278</v>
      </c>
      <c r="I157" s="172">
        <f t="shared" si="79"/>
        <v>0</v>
      </c>
      <c r="J157" s="214">
        <f t="shared" si="80"/>
        <v>3</v>
      </c>
      <c r="K157" s="27">
        <f t="shared" si="59"/>
        <v>4.666666666666667</v>
      </c>
      <c r="L157" s="172">
        <f t="shared" si="81"/>
        <v>24</v>
      </c>
      <c r="M157" s="32">
        <f>IF(Use_BOM_DF,Weather_Site!H160,IF(0.191*(Weather_Site!K160+104)*(Weather_Site!J160+1)^1.5/(3.52*(Weather_Site!J160+1)^1.5+Weather_Site!I160-1)&gt;10, 10,0.191*(Weather_Site!K160+104)*(Weather_Site!J160+1)^1.5/(3.52*(Weather_Site!J160+1)^1.5+Weather_Site!I160-1)))</f>
        <v>7.882539682539683</v>
      </c>
      <c r="N157" s="32">
        <f t="shared" si="60"/>
        <v>9.3821305554664303</v>
      </c>
      <c r="O157" s="33">
        <f t="shared" si="61"/>
        <v>270.20535999743316</v>
      </c>
      <c r="P157" s="33">
        <f t="shared" si="62"/>
        <v>194.72382302168867</v>
      </c>
      <c r="Q157" s="32">
        <f t="shared" si="63"/>
        <v>7.2726696799666311</v>
      </c>
      <c r="R157" s="42">
        <f t="shared" si="64"/>
        <v>552.75370607132936</v>
      </c>
      <c r="S157" s="42">
        <f t="shared" si="65"/>
        <v>2641.251938400022</v>
      </c>
      <c r="T157" s="42">
        <f t="shared" si="66"/>
        <v>35187.657142857141</v>
      </c>
      <c r="U157" s="32">
        <f t="shared" si="67"/>
        <v>5.7537384147186366</v>
      </c>
      <c r="V157" s="33">
        <f t="shared" si="68"/>
        <v>4.666666666666667</v>
      </c>
      <c r="W157" s="33">
        <f t="shared" si="69"/>
        <v>11.666666666666668</v>
      </c>
      <c r="X157" s="32">
        <f t="shared" si="70"/>
        <v>6.761243854919746</v>
      </c>
      <c r="Y157" s="32">
        <f t="shared" si="71"/>
        <v>9.3264000000000014</v>
      </c>
      <c r="Z157" s="32" t="e">
        <f>IF(Use_BOM_DF,M157/10,MIN(0.972+(0.342*LN(Weather_Site!J160))-(0.245*LN(Weather_Site!I160)),1))</f>
        <v>#NUM!</v>
      </c>
      <c r="AA157" s="33" t="e">
        <f t="shared" si="72"/>
        <v>#NUM!</v>
      </c>
      <c r="AB157" s="33" t="e">
        <f t="shared" si="73"/>
        <v>#NUM!</v>
      </c>
      <c r="AC157" s="33" t="e">
        <f t="shared" si="74"/>
        <v>#NUM!</v>
      </c>
      <c r="AD157" s="32" t="e">
        <f t="shared" si="75"/>
        <v>#NUM!</v>
      </c>
      <c r="AE157" s="32" t="e">
        <f t="shared" si="76"/>
        <v>#NUM!</v>
      </c>
      <c r="AF157" s="42" t="e">
        <f t="shared" si="77"/>
        <v>#NUM!</v>
      </c>
      <c r="AG157" s="83">
        <f t="shared" si="78"/>
        <v>9.6521718088613166</v>
      </c>
    </row>
    <row r="158" spans="1:33" x14ac:dyDescent="0.25">
      <c r="A158" s="23" t="str">
        <f>Weather_Site!A161</f>
        <v>Sat</v>
      </c>
      <c r="B158" s="24">
        <f>Weather_Site!B161</f>
        <v>44555</v>
      </c>
      <c r="C158" s="25">
        <f>Weather_Site!C161</f>
        <v>0.375</v>
      </c>
      <c r="D158" s="27">
        <f>Weather_Site!D161</f>
        <v>28.4</v>
      </c>
      <c r="E158" s="27">
        <f>Weather_Site!E161</f>
        <v>31.8</v>
      </c>
      <c r="F158" s="28">
        <f>Weather_Site!F161</f>
        <v>79</v>
      </c>
      <c r="G158" s="27">
        <f>Weather_Site!G161</f>
        <v>10</v>
      </c>
      <c r="H158" s="27">
        <f>IF(Weather_Site!M161&lt;180,Weather_Site!M161+180,Weather_Site!M161-180)</f>
        <v>259</v>
      </c>
      <c r="I158" s="172">
        <f t="shared" si="79"/>
        <v>0</v>
      </c>
      <c r="J158" s="214">
        <f t="shared" si="80"/>
        <v>3</v>
      </c>
      <c r="K158" s="27">
        <f t="shared" si="59"/>
        <v>3.3333333333333335</v>
      </c>
      <c r="L158" s="172">
        <f t="shared" si="81"/>
        <v>24</v>
      </c>
      <c r="M158" s="32">
        <f>IF(Use_BOM_DF,Weather_Site!H161,IF(0.191*(Weather_Site!K161+104)*(Weather_Site!J161+1)^1.5/(3.52*(Weather_Site!J161+1)^1.5+Weather_Site!I161-1)&gt;10, 10,0.191*(Weather_Site!K161+104)*(Weather_Site!J161+1)^1.5/(3.52*(Weather_Site!J161+1)^1.5+Weather_Site!I161-1)))</f>
        <v>7.882539682539683</v>
      </c>
      <c r="N158" s="32">
        <f t="shared" si="60"/>
        <v>10.780908898548269</v>
      </c>
      <c r="O158" s="33">
        <f t="shared" si="61"/>
        <v>310.49017627819012</v>
      </c>
      <c r="P158" s="33">
        <f t="shared" si="62"/>
        <v>245.7100697172485</v>
      </c>
      <c r="Q158" s="32">
        <f t="shared" si="63"/>
        <v>7.7963722916164713</v>
      </c>
      <c r="R158" s="42">
        <f t="shared" si="64"/>
        <v>688.83581546772643</v>
      </c>
      <c r="S158" s="42">
        <f t="shared" si="65"/>
        <v>3035.0352041747974</v>
      </c>
      <c r="T158" s="42">
        <f t="shared" si="66"/>
        <v>35187.657142857141</v>
      </c>
      <c r="U158" s="32">
        <f t="shared" si="67"/>
        <v>5.2035546330464078</v>
      </c>
      <c r="V158" s="33">
        <f t="shared" si="68"/>
        <v>3.3333333333333335</v>
      </c>
      <c r="W158" s="33">
        <f t="shared" si="69"/>
        <v>8.3333333333333339</v>
      </c>
      <c r="X158" s="32">
        <f t="shared" si="70"/>
        <v>8.5315996429600176</v>
      </c>
      <c r="Y158" s="32">
        <f t="shared" si="71"/>
        <v>8.0718000000000014</v>
      </c>
      <c r="Z158" s="32" t="e">
        <f>IF(Use_BOM_DF,M158/10,MIN(0.972+(0.342*LN(Weather_Site!J161))-(0.245*LN(Weather_Site!I161)),1))</f>
        <v>#NUM!</v>
      </c>
      <c r="AA158" s="33" t="e">
        <f t="shared" si="72"/>
        <v>#NUM!</v>
      </c>
      <c r="AB158" s="33" t="e">
        <f t="shared" si="73"/>
        <v>#NUM!</v>
      </c>
      <c r="AC158" s="33" t="e">
        <f t="shared" si="74"/>
        <v>#NUM!</v>
      </c>
      <c r="AD158" s="32" t="e">
        <f t="shared" si="75"/>
        <v>#NUM!</v>
      </c>
      <c r="AE158" s="32" t="e">
        <f t="shared" si="76"/>
        <v>#NUM!</v>
      </c>
      <c r="AF158" s="42" t="e">
        <f t="shared" si="77"/>
        <v>#NUM!</v>
      </c>
      <c r="AG158" s="83">
        <f t="shared" si="78"/>
        <v>10.855255984998674</v>
      </c>
    </row>
    <row r="159" spans="1:33" x14ac:dyDescent="0.25">
      <c r="A159" s="23" t="str">
        <f>Weather_Site!A162</f>
        <v>Sat</v>
      </c>
      <c r="B159" s="24">
        <f>Weather_Site!B162</f>
        <v>44555</v>
      </c>
      <c r="C159" s="25">
        <f>Weather_Site!C162</f>
        <v>0.41666666666666669</v>
      </c>
      <c r="D159" s="27">
        <f>Weather_Site!D162</f>
        <v>31.4</v>
      </c>
      <c r="E159" s="27">
        <f>Weather_Site!E162</f>
        <v>24.7</v>
      </c>
      <c r="F159" s="28">
        <f>Weather_Site!F162</f>
        <v>61</v>
      </c>
      <c r="G159" s="27">
        <f>Weather_Site!G162</f>
        <v>16</v>
      </c>
      <c r="H159" s="27">
        <f>IF(Weather_Site!M162&lt;180,Weather_Site!M162+180,Weather_Site!M162-180)</f>
        <v>241</v>
      </c>
      <c r="I159" s="172">
        <f t="shared" si="79"/>
        <v>0</v>
      </c>
      <c r="J159" s="214">
        <f t="shared" si="80"/>
        <v>3</v>
      </c>
      <c r="K159" s="27">
        <f t="shared" si="59"/>
        <v>5.333333333333333</v>
      </c>
      <c r="L159" s="172">
        <f t="shared" si="81"/>
        <v>24</v>
      </c>
      <c r="M159" s="32">
        <f>IF(Use_BOM_DF,Weather_Site!H162,IF(0.191*(Weather_Site!K162+104)*(Weather_Site!J162+1)^1.5/(3.52*(Weather_Site!J162+1)^1.5+Weather_Site!I162-1)&gt;10, 10,0.191*(Weather_Site!K162+104)*(Weather_Site!J162+1)^1.5/(3.52*(Weather_Site!J162+1)^1.5+Weather_Site!I162-1)))</f>
        <v>7.882539682539683</v>
      </c>
      <c r="N159" s="32">
        <f t="shared" si="60"/>
        <v>17.54075227852001</v>
      </c>
      <c r="O159" s="33">
        <f t="shared" si="61"/>
        <v>505.17366562137624</v>
      </c>
      <c r="P159" s="33">
        <f t="shared" si="62"/>
        <v>347.40882708427392</v>
      </c>
      <c r="Q159" s="32">
        <f t="shared" si="63"/>
        <v>10.327257653077892</v>
      </c>
      <c r="R159" s="42">
        <f t="shared" si="64"/>
        <v>1346.4766424690092</v>
      </c>
      <c r="S159" s="42">
        <f t="shared" si="65"/>
        <v>4938.0623817520855</v>
      </c>
      <c r="T159" s="42">
        <f t="shared" si="66"/>
        <v>35187.657142857141</v>
      </c>
      <c r="U159" s="32">
        <f t="shared" si="67"/>
        <v>4.5010203878573067</v>
      </c>
      <c r="V159" s="33">
        <f t="shared" si="68"/>
        <v>5.333333333333333</v>
      </c>
      <c r="W159" s="33">
        <f t="shared" si="69"/>
        <v>13.333333333333334</v>
      </c>
      <c r="X159" s="32">
        <f t="shared" si="70"/>
        <v>12.062806495981734</v>
      </c>
      <c r="Y159" s="32">
        <f t="shared" si="71"/>
        <v>6.430600000000001</v>
      </c>
      <c r="Z159" s="32" t="e">
        <f>IF(Use_BOM_DF,M159/10,MIN(0.972+(0.342*LN(Weather_Site!J162))-(0.245*LN(Weather_Site!I162)),1))</f>
        <v>#NUM!</v>
      </c>
      <c r="AA159" s="33" t="e">
        <f t="shared" si="72"/>
        <v>#NUM!</v>
      </c>
      <c r="AB159" s="33" t="e">
        <f t="shared" si="73"/>
        <v>#NUM!</v>
      </c>
      <c r="AC159" s="33" t="e">
        <f t="shared" si="74"/>
        <v>#NUM!</v>
      </c>
      <c r="AD159" s="32" t="e">
        <f t="shared" si="75"/>
        <v>#NUM!</v>
      </c>
      <c r="AE159" s="32" t="e">
        <f t="shared" si="76"/>
        <v>#NUM!</v>
      </c>
      <c r="AF159" s="42" t="e">
        <f t="shared" si="77"/>
        <v>#NUM!</v>
      </c>
      <c r="AG159" s="83">
        <f t="shared" si="78"/>
        <v>16.939173076946236</v>
      </c>
    </row>
    <row r="160" spans="1:33" x14ac:dyDescent="0.25">
      <c r="A160" s="23" t="str">
        <f>Weather_Site!A163</f>
        <v>Sat</v>
      </c>
      <c r="B160" s="24">
        <f>Weather_Site!B163</f>
        <v>44555</v>
      </c>
      <c r="C160" s="25">
        <f>Weather_Site!C163</f>
        <v>0.45833333333333331</v>
      </c>
      <c r="D160" s="27">
        <f>Weather_Site!D163</f>
        <v>33.9</v>
      </c>
      <c r="E160" s="27">
        <f>Weather_Site!E163</f>
        <v>20.3</v>
      </c>
      <c r="F160" s="28">
        <f>Weather_Site!F163</f>
        <v>56</v>
      </c>
      <c r="G160" s="27">
        <f>Weather_Site!G163</f>
        <v>17</v>
      </c>
      <c r="H160" s="27">
        <f>IF(Weather_Site!M163&lt;180,Weather_Site!M163+180,Weather_Site!M163-180)</f>
        <v>236</v>
      </c>
      <c r="I160" s="172">
        <f t="shared" si="79"/>
        <v>0</v>
      </c>
      <c r="J160" s="214">
        <f t="shared" si="80"/>
        <v>3</v>
      </c>
      <c r="K160" s="27">
        <f t="shared" si="59"/>
        <v>5.666666666666667</v>
      </c>
      <c r="L160" s="172">
        <f t="shared" si="81"/>
        <v>24</v>
      </c>
      <c r="M160" s="32">
        <f>IF(Use_BOM_DF,Weather_Site!H163,IF(0.191*(Weather_Site!K163+104)*(Weather_Site!J163+1)^1.5/(3.52*(Weather_Site!J163+1)^1.5+Weather_Site!I163-1)&gt;10, 10,0.191*(Weather_Site!K163+104)*(Weather_Site!J163+1)^1.5/(3.52*(Weather_Site!J163+1)^1.5+Weather_Site!I163-1)))</f>
        <v>7.882539682539683</v>
      </c>
      <c r="N160" s="32">
        <f t="shared" si="60"/>
        <v>22.742305657560422</v>
      </c>
      <c r="O160" s="33">
        <f t="shared" si="61"/>
        <v>654.97840293774016</v>
      </c>
      <c r="P160" s="33">
        <f t="shared" si="62"/>
        <v>440.01211581549472</v>
      </c>
      <c r="Q160" s="32">
        <f t="shared" si="63"/>
        <v>12.274719238190622</v>
      </c>
      <c r="R160" s="42">
        <f t="shared" si="64"/>
        <v>1852.5170451236863</v>
      </c>
      <c r="S160" s="42">
        <f t="shared" si="65"/>
        <v>6402.4006643905614</v>
      </c>
      <c r="T160" s="42">
        <f t="shared" si="66"/>
        <v>35187.657142857141</v>
      </c>
      <c r="U160" s="32">
        <f t="shared" si="67"/>
        <v>4.1255449940484183</v>
      </c>
      <c r="V160" s="33">
        <f t="shared" si="68"/>
        <v>5.666666666666667</v>
      </c>
      <c r="W160" s="33">
        <f t="shared" si="69"/>
        <v>14.166666666666668</v>
      </c>
      <c r="X160" s="32">
        <f t="shared" si="70"/>
        <v>15.278198465815789</v>
      </c>
      <c r="Y160" s="32">
        <f t="shared" si="71"/>
        <v>5.232800000000001</v>
      </c>
      <c r="Z160" s="32" t="e">
        <f>IF(Use_BOM_DF,M160/10,MIN(0.972+(0.342*LN(Weather_Site!J163))-(0.245*LN(Weather_Site!I163)),1))</f>
        <v>#NUM!</v>
      </c>
      <c r="AA160" s="33" t="e">
        <f t="shared" si="72"/>
        <v>#NUM!</v>
      </c>
      <c r="AB160" s="33" t="e">
        <f t="shared" si="73"/>
        <v>#NUM!</v>
      </c>
      <c r="AC160" s="33" t="e">
        <f t="shared" si="74"/>
        <v>#NUM!</v>
      </c>
      <c r="AD160" s="32" t="e">
        <f t="shared" si="75"/>
        <v>#NUM!</v>
      </c>
      <c r="AE160" s="32" t="e">
        <f t="shared" si="76"/>
        <v>#NUM!</v>
      </c>
      <c r="AF160" s="42" t="e">
        <f t="shared" si="77"/>
        <v>#NUM!</v>
      </c>
      <c r="AG160" s="83">
        <f t="shared" si="78"/>
        <v>20.820778589605421</v>
      </c>
    </row>
    <row r="161" spans="1:33" x14ac:dyDescent="0.25">
      <c r="A161" s="23" t="str">
        <f>Weather_Site!A164</f>
        <v>Sat</v>
      </c>
      <c r="B161" s="24">
        <f>Weather_Site!B164</f>
        <v>44555</v>
      </c>
      <c r="C161" s="25">
        <f>Weather_Site!C164</f>
        <v>0.5</v>
      </c>
      <c r="D161" s="27">
        <f>Weather_Site!D164</f>
        <v>35.4</v>
      </c>
      <c r="E161" s="27">
        <f>Weather_Site!E164</f>
        <v>18.5</v>
      </c>
      <c r="F161" s="28">
        <f>Weather_Site!F164</f>
        <v>90</v>
      </c>
      <c r="G161" s="27">
        <f>Weather_Site!G164</f>
        <v>17</v>
      </c>
      <c r="H161" s="27">
        <f>IF(Weather_Site!M164&lt;180,Weather_Site!M164+180,Weather_Site!M164-180)</f>
        <v>270</v>
      </c>
      <c r="I161" s="172">
        <f t="shared" si="79"/>
        <v>0</v>
      </c>
      <c r="J161" s="214">
        <f t="shared" si="80"/>
        <v>3</v>
      </c>
      <c r="K161" s="27">
        <f t="shared" si="59"/>
        <v>5.666666666666667</v>
      </c>
      <c r="L161" s="172">
        <f t="shared" si="81"/>
        <v>24</v>
      </c>
      <c r="M161" s="32">
        <f>IF(Use_BOM_DF,Weather_Site!H164,IF(0.191*(Weather_Site!K164+104)*(Weather_Site!J164+1)^1.5/(3.52*(Weather_Site!J164+1)^1.5+Weather_Site!I164-1)&gt;10, 10,0.191*(Weather_Site!K164+104)*(Weather_Site!J164+1)^1.5/(3.52*(Weather_Site!J164+1)^1.5+Weather_Site!I164-1)))</f>
        <v>7.882539682539683</v>
      </c>
      <c r="N161" s="32">
        <f t="shared" si="60"/>
        <v>25.457919549979604</v>
      </c>
      <c r="O161" s="33">
        <f t="shared" si="61"/>
        <v>733.1880830394125</v>
      </c>
      <c r="P161" s="33">
        <f t="shared" si="62"/>
        <v>492.5530952805247</v>
      </c>
      <c r="Q161" s="32">
        <f t="shared" si="63"/>
        <v>13.291445079512362</v>
      </c>
      <c r="R161" s="42">
        <f t="shared" si="64"/>
        <v>2116.7093445071359</v>
      </c>
      <c r="S161" s="42">
        <f t="shared" si="65"/>
        <v>7166.8987082937247</v>
      </c>
      <c r="T161" s="42">
        <f t="shared" si="66"/>
        <v>35187.657142857141</v>
      </c>
      <c r="U161" s="32">
        <f t="shared" si="67"/>
        <v>3.9778377991520979</v>
      </c>
      <c r="V161" s="33">
        <f t="shared" si="68"/>
        <v>5.666666666666667</v>
      </c>
      <c r="W161" s="33">
        <f t="shared" si="69"/>
        <v>14.166666666666668</v>
      </c>
      <c r="X161" s="32">
        <f t="shared" si="70"/>
        <v>17.102538030573776</v>
      </c>
      <c r="Y161" s="32">
        <f t="shared" si="71"/>
        <v>3.2255000000000007</v>
      </c>
      <c r="Z161" s="32" t="e">
        <f>IF(Use_BOM_DF,M161/10,MIN(0.972+(0.342*LN(Weather_Site!J164))-(0.245*LN(Weather_Site!I164)),1))</f>
        <v>#NUM!</v>
      </c>
      <c r="AA161" s="33" t="e">
        <f t="shared" si="72"/>
        <v>#NUM!</v>
      </c>
      <c r="AB161" s="33" t="e">
        <f t="shared" si="73"/>
        <v>#NUM!</v>
      </c>
      <c r="AC161" s="33" t="e">
        <f t="shared" si="74"/>
        <v>#NUM!</v>
      </c>
      <c r="AD161" s="32" t="e">
        <f t="shared" si="75"/>
        <v>#NUM!</v>
      </c>
      <c r="AE161" s="32" t="e">
        <f t="shared" si="76"/>
        <v>#NUM!</v>
      </c>
      <c r="AF161" s="42" t="e">
        <f t="shared" si="77"/>
        <v>#NUM!</v>
      </c>
      <c r="AG161" s="83">
        <f t="shared" si="78"/>
        <v>22.477546614235337</v>
      </c>
    </row>
    <row r="162" spans="1:33" x14ac:dyDescent="0.25">
      <c r="A162" s="23" t="str">
        <f>Weather_Site!A165</f>
        <v>Sat</v>
      </c>
      <c r="B162" s="24">
        <f>Weather_Site!B165</f>
        <v>44555</v>
      </c>
      <c r="C162" s="25">
        <f>Weather_Site!C165</f>
        <v>0.54166666666666663</v>
      </c>
      <c r="D162" s="27">
        <f>Weather_Site!D165</f>
        <v>36.6</v>
      </c>
      <c r="E162" s="27">
        <f>Weather_Site!E165</f>
        <v>16.899999999999999</v>
      </c>
      <c r="F162" s="28">
        <f>Weather_Site!F165</f>
        <v>117</v>
      </c>
      <c r="G162" s="27">
        <f>Weather_Site!G165</f>
        <v>18</v>
      </c>
      <c r="H162" s="27">
        <f>IF(Weather_Site!M165&lt;180,Weather_Site!M165+180,Weather_Site!M165-180)</f>
        <v>297</v>
      </c>
      <c r="I162" s="172">
        <f t="shared" si="79"/>
        <v>0</v>
      </c>
      <c r="J162" s="214">
        <f t="shared" si="80"/>
        <v>3</v>
      </c>
      <c r="K162" s="27">
        <f t="shared" si="59"/>
        <v>6</v>
      </c>
      <c r="L162" s="172">
        <f t="shared" si="81"/>
        <v>24</v>
      </c>
      <c r="M162" s="32">
        <f>IF(Use_BOM_DF,Weather_Site!H165,IF(0.191*(Weather_Site!K165+104)*(Weather_Site!J165+1)^1.5/(3.52*(Weather_Site!J165+1)^1.5+Weather_Site!I165-1)&gt;10, 10,0.191*(Weather_Site!K165+104)*(Weather_Site!J165+1)^1.5/(3.52*(Weather_Site!J165+1)^1.5+Weather_Site!I165-1)))</f>
        <v>7.882539682539683</v>
      </c>
      <c r="N162" s="32">
        <f t="shared" si="60"/>
        <v>28.679623135924135</v>
      </c>
      <c r="O162" s="33">
        <f t="shared" si="61"/>
        <v>825.97314631461518</v>
      </c>
      <c r="P162" s="33">
        <f t="shared" si="62"/>
        <v>542.05217599373748</v>
      </c>
      <c r="Q162" s="32">
        <f t="shared" si="63"/>
        <v>14.497650902089998</v>
      </c>
      <c r="R162" s="42">
        <f t="shared" si="64"/>
        <v>2430.1372882507703</v>
      </c>
      <c r="S162" s="42">
        <f t="shared" si="65"/>
        <v>8073.8708284342201</v>
      </c>
      <c r="T162" s="42">
        <f t="shared" si="66"/>
        <v>35187.657142857141</v>
      </c>
      <c r="U162" s="32">
        <f t="shared" si="67"/>
        <v>3.8596666881529815</v>
      </c>
      <c r="V162" s="33">
        <f t="shared" si="68"/>
        <v>6</v>
      </c>
      <c r="W162" s="33">
        <f t="shared" si="69"/>
        <v>15</v>
      </c>
      <c r="X162" s="32">
        <f t="shared" si="70"/>
        <v>18.821256110893664</v>
      </c>
      <c r="Y162" s="32">
        <f t="shared" si="71"/>
        <v>2.8087</v>
      </c>
      <c r="Z162" s="32" t="e">
        <f>IF(Use_BOM_DF,M162/10,MIN(0.972+(0.342*LN(Weather_Site!J165))-(0.245*LN(Weather_Site!I165)),1))</f>
        <v>#NUM!</v>
      </c>
      <c r="AA162" s="33" t="e">
        <f t="shared" si="72"/>
        <v>#NUM!</v>
      </c>
      <c r="AB162" s="33" t="e">
        <f t="shared" si="73"/>
        <v>#NUM!</v>
      </c>
      <c r="AC162" s="33" t="e">
        <f t="shared" si="74"/>
        <v>#NUM!</v>
      </c>
      <c r="AD162" s="32" t="e">
        <f t="shared" si="75"/>
        <v>#NUM!</v>
      </c>
      <c r="AE162" s="32" t="e">
        <f t="shared" si="76"/>
        <v>#NUM!</v>
      </c>
      <c r="AF162" s="42" t="e">
        <f t="shared" si="77"/>
        <v>#NUM!</v>
      </c>
      <c r="AG162" s="83">
        <f t="shared" si="78"/>
        <v>24.514083556927176</v>
      </c>
    </row>
    <row r="163" spans="1:33" x14ac:dyDescent="0.25">
      <c r="A163" s="23" t="str">
        <f>Weather_Site!A166</f>
        <v>Sat</v>
      </c>
      <c r="B163" s="24">
        <f>Weather_Site!B166</f>
        <v>44555</v>
      </c>
      <c r="C163" s="25">
        <f>Weather_Site!C166</f>
        <v>0.58333333333333337</v>
      </c>
      <c r="D163" s="27">
        <f>Weather_Site!D166</f>
        <v>37.6</v>
      </c>
      <c r="E163" s="27">
        <f>Weather_Site!E166</f>
        <v>14.9</v>
      </c>
      <c r="F163" s="28">
        <f>Weather_Site!F166</f>
        <v>131</v>
      </c>
      <c r="G163" s="27">
        <f>Weather_Site!G166</f>
        <v>19</v>
      </c>
      <c r="H163" s="27">
        <f>IF(Weather_Site!M166&lt;180,Weather_Site!M166+180,Weather_Site!M166-180)</f>
        <v>311</v>
      </c>
      <c r="I163" s="172">
        <f t="shared" si="79"/>
        <v>0</v>
      </c>
      <c r="J163" s="214">
        <f t="shared" si="80"/>
        <v>3</v>
      </c>
      <c r="K163" s="27">
        <f t="shared" si="59"/>
        <v>6.333333333333333</v>
      </c>
      <c r="L163" s="172">
        <f t="shared" si="81"/>
        <v>24</v>
      </c>
      <c r="M163" s="32">
        <f>IF(Use_BOM_DF,Weather_Site!H166,IF(0.191*(Weather_Site!K166+104)*(Weather_Site!J166+1)^1.5/(3.52*(Weather_Site!J166+1)^1.5+Weather_Site!I166-1)&gt;10, 10,0.191*(Weather_Site!K166+104)*(Weather_Site!J166+1)^1.5/(3.52*(Weather_Site!J166+1)^1.5+Weather_Site!I166-1)))</f>
        <v>7.882539682539683</v>
      </c>
      <c r="N163" s="32">
        <f t="shared" si="60"/>
        <v>32.53729192383836</v>
      </c>
      <c r="O163" s="33">
        <f t="shared" si="61"/>
        <v>937.07400740654464</v>
      </c>
      <c r="P163" s="33">
        <f t="shared" si="62"/>
        <v>600.74002034034459</v>
      </c>
      <c r="Q163" s="32">
        <f t="shared" si="63"/>
        <v>15.941962096285081</v>
      </c>
      <c r="R163" s="42">
        <f t="shared" si="64"/>
        <v>2805.4359970193082</v>
      </c>
      <c r="S163" s="42">
        <f t="shared" si="65"/>
        <v>9159.8795024285409</v>
      </c>
      <c r="T163" s="42">
        <f t="shared" si="66"/>
        <v>35187.657142857141</v>
      </c>
      <c r="U163" s="32">
        <f t="shared" si="67"/>
        <v>3.7327531694953229</v>
      </c>
      <c r="V163" s="33">
        <f t="shared" si="68"/>
        <v>6.333333333333333</v>
      </c>
      <c r="W163" s="33">
        <f t="shared" si="69"/>
        <v>15.833333333333334</v>
      </c>
      <c r="X163" s="32">
        <f t="shared" si="70"/>
        <v>20.859028484039744</v>
      </c>
      <c r="Y163" s="32">
        <f t="shared" si="71"/>
        <v>2.3727</v>
      </c>
      <c r="Z163" s="32" t="e">
        <f>IF(Use_BOM_DF,M163/10,MIN(0.972+(0.342*LN(Weather_Site!J166))-(0.245*LN(Weather_Site!I166)),1))</f>
        <v>#NUM!</v>
      </c>
      <c r="AA163" s="33" t="e">
        <f t="shared" si="72"/>
        <v>#NUM!</v>
      </c>
      <c r="AB163" s="33" t="e">
        <f t="shared" si="73"/>
        <v>#NUM!</v>
      </c>
      <c r="AC163" s="33" t="e">
        <f t="shared" si="74"/>
        <v>#NUM!</v>
      </c>
      <c r="AD163" s="32" t="e">
        <f t="shared" si="75"/>
        <v>#NUM!</v>
      </c>
      <c r="AE163" s="32" t="e">
        <f t="shared" si="76"/>
        <v>#NUM!</v>
      </c>
      <c r="AF163" s="42" t="e">
        <f t="shared" si="77"/>
        <v>#NUM!</v>
      </c>
      <c r="AG163" s="83">
        <f t="shared" si="78"/>
        <v>26.91976493493279</v>
      </c>
    </row>
    <row r="164" spans="1:33" x14ac:dyDescent="0.25">
      <c r="A164" s="23" t="str">
        <f>Weather_Site!A167</f>
        <v>Sat</v>
      </c>
      <c r="B164" s="24">
        <f>Weather_Site!B167</f>
        <v>44555</v>
      </c>
      <c r="C164" s="25">
        <f>Weather_Site!C167</f>
        <v>0.625</v>
      </c>
      <c r="D164" s="27">
        <f>Weather_Site!D167</f>
        <v>38</v>
      </c>
      <c r="E164" s="27">
        <f>Weather_Site!E167</f>
        <v>14.2</v>
      </c>
      <c r="F164" s="28">
        <f>Weather_Site!F167</f>
        <v>176</v>
      </c>
      <c r="G164" s="27">
        <f>Weather_Site!G167</f>
        <v>17</v>
      </c>
      <c r="H164" s="27">
        <f>IF(Weather_Site!M167&lt;180,Weather_Site!M167+180,Weather_Site!M167-180)</f>
        <v>356</v>
      </c>
      <c r="I164" s="172">
        <f t="shared" si="79"/>
        <v>0</v>
      </c>
      <c r="J164" s="214">
        <f t="shared" si="80"/>
        <v>3</v>
      </c>
      <c r="K164" s="27">
        <f t="shared" si="59"/>
        <v>5.666666666666667</v>
      </c>
      <c r="L164" s="172">
        <f t="shared" si="81"/>
        <v>24</v>
      </c>
      <c r="M164" s="32">
        <f>IF(Use_BOM_DF,Weather_Site!H167,IF(0.191*(Weather_Site!K167+104)*(Weather_Site!J167+1)^1.5/(3.52*(Weather_Site!J167+1)^1.5+Weather_Site!I167-1)&gt;10, 10,0.191*(Weather_Site!K167+104)*(Weather_Site!J167+1)^1.5/(3.52*(Weather_Site!J167+1)^1.5+Weather_Site!I167-1)))</f>
        <v>7.882539682539683</v>
      </c>
      <c r="N164" s="32">
        <f t="shared" si="60"/>
        <v>32.241578434794981</v>
      </c>
      <c r="O164" s="33">
        <f t="shared" si="61"/>
        <v>928.55745892209529</v>
      </c>
      <c r="P164" s="33">
        <f t="shared" si="62"/>
        <v>623.80153349179716</v>
      </c>
      <c r="Q164" s="32">
        <f t="shared" si="63"/>
        <v>15.831246965987241</v>
      </c>
      <c r="R164" s="42">
        <f t="shared" si="64"/>
        <v>2776.667096238838</v>
      </c>
      <c r="S164" s="42">
        <f t="shared" si="65"/>
        <v>9076.6304129462169</v>
      </c>
      <c r="T164" s="42">
        <f t="shared" si="66"/>
        <v>35187.657142857141</v>
      </c>
      <c r="U164" s="32">
        <f t="shared" si="67"/>
        <v>3.6896140538471243</v>
      </c>
      <c r="V164" s="33">
        <f t="shared" si="68"/>
        <v>5.666666666666667</v>
      </c>
      <c r="W164" s="33">
        <f t="shared" si="69"/>
        <v>14.166666666666668</v>
      </c>
      <c r="X164" s="32">
        <f t="shared" si="70"/>
        <v>21.659775468465181</v>
      </c>
      <c r="Y164" s="32">
        <f t="shared" si="71"/>
        <v>2.2115999999999998</v>
      </c>
      <c r="Z164" s="32" t="e">
        <f>IF(Use_BOM_DF,M164/10,MIN(0.972+(0.342*LN(Weather_Site!J167))-(0.245*LN(Weather_Site!I167)),1))</f>
        <v>#NUM!</v>
      </c>
      <c r="AA164" s="33" t="e">
        <f t="shared" si="72"/>
        <v>#NUM!</v>
      </c>
      <c r="AB164" s="33" t="e">
        <f t="shared" si="73"/>
        <v>#NUM!</v>
      </c>
      <c r="AC164" s="33" t="e">
        <f t="shared" si="74"/>
        <v>#NUM!</v>
      </c>
      <c r="AD164" s="32" t="e">
        <f t="shared" si="75"/>
        <v>#NUM!</v>
      </c>
      <c r="AE164" s="32" t="e">
        <f t="shared" si="76"/>
        <v>#NUM!</v>
      </c>
      <c r="AF164" s="42" t="e">
        <f t="shared" si="77"/>
        <v>#NUM!</v>
      </c>
      <c r="AG164" s="83">
        <f t="shared" si="78"/>
        <v>26.323751413069477</v>
      </c>
    </row>
    <row r="165" spans="1:33" x14ac:dyDescent="0.25">
      <c r="A165" s="23" t="str">
        <f>Weather_Site!A168</f>
        <v>Sat</v>
      </c>
      <c r="B165" s="24">
        <f>Weather_Site!B168</f>
        <v>44555</v>
      </c>
      <c r="C165" s="25">
        <f>Weather_Site!C168</f>
        <v>0.66666666666666663</v>
      </c>
      <c r="D165" s="27">
        <f>Weather_Site!D168</f>
        <v>38.6</v>
      </c>
      <c r="E165" s="27">
        <f>Weather_Site!E168</f>
        <v>13.4</v>
      </c>
      <c r="F165" s="28">
        <f>Weather_Site!F168</f>
        <v>188</v>
      </c>
      <c r="G165" s="27">
        <f>Weather_Site!G168</f>
        <v>18</v>
      </c>
      <c r="H165" s="27">
        <f>IF(Weather_Site!M168&lt;180,Weather_Site!M168+180,Weather_Site!M168-180)</f>
        <v>8</v>
      </c>
      <c r="I165" s="172">
        <f t="shared" si="79"/>
        <v>0</v>
      </c>
      <c r="J165" s="214">
        <f t="shared" si="80"/>
        <v>3</v>
      </c>
      <c r="K165" s="27">
        <f t="shared" si="59"/>
        <v>6</v>
      </c>
      <c r="L165" s="172">
        <f t="shared" si="81"/>
        <v>24</v>
      </c>
      <c r="M165" s="32">
        <f>IF(Use_BOM_DF,Weather_Site!H168,IF(0.191*(Weather_Site!K168+104)*(Weather_Site!J168+1)^1.5/(3.52*(Weather_Site!J168+1)^1.5+Weather_Site!I168-1)&gt;10, 10,0.191*(Weather_Site!K168+104)*(Weather_Site!J168+1)^1.5/(3.52*(Weather_Site!J168+1)^1.5+Weather_Site!I168-1)))</f>
        <v>7.882539682539683</v>
      </c>
      <c r="N165" s="32">
        <f t="shared" si="60"/>
        <v>34.623646563875589</v>
      </c>
      <c r="O165" s="33">
        <f t="shared" si="61"/>
        <v>997.16102103961691</v>
      </c>
      <c r="P165" s="33">
        <f t="shared" si="62"/>
        <v>654.39573148638237</v>
      </c>
      <c r="Q165" s="32">
        <f t="shared" si="63"/>
        <v>16.723093273515019</v>
      </c>
      <c r="R165" s="42">
        <f t="shared" si="64"/>
        <v>3008.4099290718259</v>
      </c>
      <c r="S165" s="42">
        <f t="shared" si="65"/>
        <v>9747.2288475064033</v>
      </c>
      <c r="T165" s="42">
        <f t="shared" si="66"/>
        <v>35187.657142857141</v>
      </c>
      <c r="U165" s="32">
        <f t="shared" si="67"/>
        <v>3.6394389550064328</v>
      </c>
      <c r="V165" s="33">
        <f t="shared" si="68"/>
        <v>6</v>
      </c>
      <c r="W165" s="33">
        <f t="shared" si="69"/>
        <v>15</v>
      </c>
      <c r="X165" s="32">
        <f t="shared" si="70"/>
        <v>22.722074009943839</v>
      </c>
      <c r="Y165" s="32">
        <f t="shared" si="71"/>
        <v>2.0032000000000005</v>
      </c>
      <c r="Z165" s="32" t="e">
        <f>IF(Use_BOM_DF,M165/10,MIN(0.972+(0.342*LN(Weather_Site!J168))-(0.245*LN(Weather_Site!I168)),1))</f>
        <v>#NUM!</v>
      </c>
      <c r="AA165" s="33" t="e">
        <f t="shared" si="72"/>
        <v>#NUM!</v>
      </c>
      <c r="AB165" s="33" t="e">
        <f t="shared" si="73"/>
        <v>#NUM!</v>
      </c>
      <c r="AC165" s="33" t="e">
        <f t="shared" si="74"/>
        <v>#NUM!</v>
      </c>
      <c r="AD165" s="32" t="e">
        <f t="shared" si="75"/>
        <v>#NUM!</v>
      </c>
      <c r="AE165" s="32" t="e">
        <f t="shared" si="76"/>
        <v>#NUM!</v>
      </c>
      <c r="AF165" s="42" t="e">
        <f t="shared" si="77"/>
        <v>#NUM!</v>
      </c>
      <c r="AG165" s="83">
        <f t="shared" si="78"/>
        <v>27.733068414516683</v>
      </c>
    </row>
    <row r="166" spans="1:33" x14ac:dyDescent="0.25">
      <c r="A166" s="23" t="str">
        <f>Weather_Site!A169</f>
        <v>Sat</v>
      </c>
      <c r="B166" s="24">
        <f>Weather_Site!B169</f>
        <v>44555</v>
      </c>
      <c r="C166" s="25">
        <f>Weather_Site!C169</f>
        <v>0.70833333333333337</v>
      </c>
      <c r="D166" s="27">
        <f>Weather_Site!D169</f>
        <v>38.6</v>
      </c>
      <c r="E166" s="27">
        <f>Weather_Site!E169</f>
        <v>13.1</v>
      </c>
      <c r="F166" s="28">
        <f>Weather_Site!F169</f>
        <v>195</v>
      </c>
      <c r="G166" s="27">
        <f>Weather_Site!G169</f>
        <v>17</v>
      </c>
      <c r="H166" s="27">
        <f>IF(Weather_Site!M169&lt;180,Weather_Site!M169+180,Weather_Site!M169-180)</f>
        <v>15</v>
      </c>
      <c r="I166" s="172">
        <f t="shared" si="79"/>
        <v>0</v>
      </c>
      <c r="J166" s="214">
        <f t="shared" si="80"/>
        <v>3</v>
      </c>
      <c r="K166" s="27">
        <f t="shared" si="59"/>
        <v>5.666666666666667</v>
      </c>
      <c r="L166" s="172">
        <f t="shared" si="81"/>
        <v>24</v>
      </c>
      <c r="M166" s="32">
        <f>IF(Use_BOM_DF,Weather_Site!H169,IF(0.191*(Weather_Site!K169+104)*(Weather_Site!J169+1)^1.5/(3.52*(Weather_Site!J169+1)^1.5+Weather_Site!I169-1)&gt;10, 10,0.191*(Weather_Site!K169+104)*(Weather_Site!J169+1)^1.5/(3.52*(Weather_Site!J169+1)^1.5+Weather_Site!I169-1)))</f>
        <v>7.882539682539683</v>
      </c>
      <c r="N166" s="32">
        <f t="shared" si="60"/>
        <v>34.174743439860158</v>
      </c>
      <c r="O166" s="33">
        <f t="shared" si="61"/>
        <v>984.23261106797258</v>
      </c>
      <c r="P166" s="33">
        <f t="shared" si="62"/>
        <v>661.20389879755157</v>
      </c>
      <c r="Q166" s="32">
        <f t="shared" si="63"/>
        <v>16.555023943883644</v>
      </c>
      <c r="R166" s="42">
        <f t="shared" si="64"/>
        <v>2964.7377601876115</v>
      </c>
      <c r="S166" s="42">
        <f t="shared" si="65"/>
        <v>9620.8539010643344</v>
      </c>
      <c r="T166" s="42">
        <f t="shared" si="66"/>
        <v>35187.657142857141</v>
      </c>
      <c r="U166" s="32">
        <f t="shared" si="67"/>
        <v>3.6246388825189415</v>
      </c>
      <c r="V166" s="33">
        <f t="shared" si="68"/>
        <v>5.666666666666667</v>
      </c>
      <c r="W166" s="33">
        <f t="shared" si="69"/>
        <v>14.166666666666668</v>
      </c>
      <c r="X166" s="32">
        <f t="shared" si="70"/>
        <v>22.958468708248322</v>
      </c>
      <c r="Y166" s="32">
        <f t="shared" si="71"/>
        <v>1.9633</v>
      </c>
      <c r="Z166" s="32" t="e">
        <f>IF(Use_BOM_DF,M166/10,MIN(0.972+(0.342*LN(Weather_Site!J169))-(0.245*LN(Weather_Site!I169)),1))</f>
        <v>#NUM!</v>
      </c>
      <c r="AA166" s="33" t="e">
        <f t="shared" si="72"/>
        <v>#NUM!</v>
      </c>
      <c r="AB166" s="33" t="e">
        <f t="shared" si="73"/>
        <v>#NUM!</v>
      </c>
      <c r="AC166" s="33" t="e">
        <f t="shared" si="74"/>
        <v>#NUM!</v>
      </c>
      <c r="AD166" s="32" t="e">
        <f t="shared" si="75"/>
        <v>#NUM!</v>
      </c>
      <c r="AE166" s="32" t="e">
        <f t="shared" si="76"/>
        <v>#NUM!</v>
      </c>
      <c r="AF166" s="42" t="e">
        <f t="shared" si="77"/>
        <v>#NUM!</v>
      </c>
      <c r="AG166" s="83">
        <f t="shared" si="78"/>
        <v>27.324472727395452</v>
      </c>
    </row>
    <row r="167" spans="1:33" x14ac:dyDescent="0.25">
      <c r="A167" s="23" t="str">
        <f>Weather_Site!A170</f>
        <v>Sat</v>
      </c>
      <c r="B167" s="24">
        <f>Weather_Site!B170</f>
        <v>44555</v>
      </c>
      <c r="C167" s="25">
        <f>Weather_Site!C170</f>
        <v>0.75</v>
      </c>
      <c r="D167" s="27">
        <f>Weather_Site!D170</f>
        <v>37.799999999999997</v>
      </c>
      <c r="E167" s="27">
        <f>Weather_Site!E170</f>
        <v>13.6</v>
      </c>
      <c r="F167" s="28">
        <f>Weather_Site!F170</f>
        <v>191</v>
      </c>
      <c r="G167" s="27">
        <f>Weather_Site!G170</f>
        <v>19</v>
      </c>
      <c r="H167" s="27">
        <f>IF(Weather_Site!M170&lt;180,Weather_Site!M170+180,Weather_Site!M170-180)</f>
        <v>11</v>
      </c>
      <c r="I167" s="172">
        <f t="shared" si="79"/>
        <v>0</v>
      </c>
      <c r="J167" s="214">
        <f t="shared" si="80"/>
        <v>3</v>
      </c>
      <c r="K167" s="27">
        <f t="shared" si="59"/>
        <v>6.333333333333333</v>
      </c>
      <c r="L167" s="172">
        <f t="shared" si="81"/>
        <v>24</v>
      </c>
      <c r="M167" s="32">
        <f>IF(Use_BOM_DF,Weather_Site!H170,IF(0.191*(Weather_Site!K170+104)*(Weather_Site!J170+1)^1.5/(3.52*(Weather_Site!J170+1)^1.5+Weather_Site!I170-1)&gt;10, 10,0.191*(Weather_Site!K170+104)*(Weather_Site!J170+1)^1.5/(3.52*(Weather_Site!J170+1)^1.5+Weather_Site!I170-1)))</f>
        <v>7.882539682539683</v>
      </c>
      <c r="N167" s="32">
        <f t="shared" si="60"/>
        <v>34.260629788170299</v>
      </c>
      <c r="O167" s="33">
        <f t="shared" si="61"/>
        <v>986.70613789930451</v>
      </c>
      <c r="P167" s="33">
        <f t="shared" si="62"/>
        <v>632.55821916572256</v>
      </c>
      <c r="Q167" s="32">
        <f t="shared" si="63"/>
        <v>16.587179792690961</v>
      </c>
      <c r="R167" s="42">
        <f t="shared" si="64"/>
        <v>2973.0933338238506</v>
      </c>
      <c r="S167" s="42">
        <f t="shared" si="65"/>
        <v>9645.0325758989184</v>
      </c>
      <c r="T167" s="42">
        <f t="shared" si="66"/>
        <v>35187.657142857141</v>
      </c>
      <c r="U167" s="32">
        <f t="shared" si="67"/>
        <v>3.6625327084162671</v>
      </c>
      <c r="V167" s="33">
        <f t="shared" si="68"/>
        <v>6.333333333333333</v>
      </c>
      <c r="W167" s="33">
        <f t="shared" si="69"/>
        <v>15.833333333333334</v>
      </c>
      <c r="X167" s="32">
        <f t="shared" si="70"/>
        <v>21.963827054365368</v>
      </c>
      <c r="Y167" s="32">
        <f t="shared" si="71"/>
        <v>2.1657999999999999</v>
      </c>
      <c r="Z167" s="32" t="e">
        <f>IF(Use_BOM_DF,M167/10,MIN(0.972+(0.342*LN(Weather_Site!J170))-(0.245*LN(Weather_Site!I170)),1))</f>
        <v>#NUM!</v>
      </c>
      <c r="AA167" s="33" t="e">
        <f t="shared" si="72"/>
        <v>#NUM!</v>
      </c>
      <c r="AB167" s="33" t="e">
        <f t="shared" si="73"/>
        <v>#NUM!</v>
      </c>
      <c r="AC167" s="33" t="e">
        <f t="shared" si="74"/>
        <v>#NUM!</v>
      </c>
      <c r="AD167" s="32" t="e">
        <f t="shared" si="75"/>
        <v>#NUM!</v>
      </c>
      <c r="AE167" s="32" t="e">
        <f t="shared" si="76"/>
        <v>#NUM!</v>
      </c>
      <c r="AF167" s="42" t="e">
        <f t="shared" si="77"/>
        <v>#NUM!</v>
      </c>
      <c r="AG167" s="83">
        <f t="shared" si="78"/>
        <v>28.015060291006399</v>
      </c>
    </row>
    <row r="168" spans="1:33" x14ac:dyDescent="0.25">
      <c r="A168" s="23" t="str">
        <f>Weather_Site!A171</f>
        <v>Sat</v>
      </c>
      <c r="B168" s="24">
        <f>Weather_Site!B171</f>
        <v>44555</v>
      </c>
      <c r="C168" s="25">
        <f>Weather_Site!C171</f>
        <v>0.79166666666666663</v>
      </c>
      <c r="D168" s="27">
        <f>Weather_Site!D171</f>
        <v>37</v>
      </c>
      <c r="E168" s="27">
        <f>Weather_Site!E171</f>
        <v>14.3</v>
      </c>
      <c r="F168" s="28">
        <f>Weather_Site!F171</f>
        <v>185</v>
      </c>
      <c r="G168" s="27">
        <f>Weather_Site!G171</f>
        <v>16</v>
      </c>
      <c r="H168" s="27">
        <f>IF(Weather_Site!M171&lt;180,Weather_Site!M171+180,Weather_Site!M171-180)</f>
        <v>5</v>
      </c>
      <c r="I168" s="172">
        <f t="shared" si="79"/>
        <v>0</v>
      </c>
      <c r="J168" s="214">
        <f t="shared" si="80"/>
        <v>3</v>
      </c>
      <c r="K168" s="27">
        <f t="shared" si="59"/>
        <v>5.333333333333333</v>
      </c>
      <c r="L168" s="172">
        <f t="shared" si="81"/>
        <v>24</v>
      </c>
      <c r="M168" s="32">
        <f>IF(Use_BOM_DF,Weather_Site!H171,IF(0.191*(Weather_Site!K171+104)*(Weather_Site!J171+1)^1.5/(3.52*(Weather_Site!J171+1)^1.5+Weather_Site!I171-1)&gt;10, 10,0.191*(Weather_Site!K171+104)*(Weather_Site!J171+1)^1.5/(3.52*(Weather_Site!J171+1)^1.5+Weather_Site!I171-1)))</f>
        <v>7.882539682539683</v>
      </c>
      <c r="N168" s="32">
        <f t="shared" si="60"/>
        <v>30.344244905865011</v>
      </c>
      <c r="O168" s="33">
        <f t="shared" si="61"/>
        <v>873.91425328891239</v>
      </c>
      <c r="P168" s="33">
        <f t="shared" si="62"/>
        <v>600.99238414157571</v>
      </c>
      <c r="Q168" s="32">
        <f t="shared" si="63"/>
        <v>15.120885292755862</v>
      </c>
      <c r="R168" s="42">
        <f t="shared" si="64"/>
        <v>2592.0823476099463</v>
      </c>
      <c r="S168" s="42">
        <f t="shared" si="65"/>
        <v>8542.4941811541976</v>
      </c>
      <c r="T168" s="42">
        <f t="shared" si="66"/>
        <v>35187.657142857141</v>
      </c>
      <c r="U168" s="32">
        <f t="shared" si="67"/>
        <v>3.7122687741388671</v>
      </c>
      <c r="V168" s="33">
        <f t="shared" si="68"/>
        <v>5.333333333333333</v>
      </c>
      <c r="W168" s="33">
        <f t="shared" si="69"/>
        <v>13.333333333333334</v>
      </c>
      <c r="X168" s="32">
        <f t="shared" si="70"/>
        <v>20.86779111602694</v>
      </c>
      <c r="Y168" s="32">
        <f t="shared" si="71"/>
        <v>2.3949000000000007</v>
      </c>
      <c r="Z168" s="32" t="e">
        <f>IF(Use_BOM_DF,M168/10,MIN(0.972+(0.342*LN(Weather_Site!J171))-(0.245*LN(Weather_Site!I171)),1))</f>
        <v>#NUM!</v>
      </c>
      <c r="AA168" s="33" t="e">
        <f t="shared" si="72"/>
        <v>#NUM!</v>
      </c>
      <c r="AB168" s="33" t="e">
        <f t="shared" si="73"/>
        <v>#NUM!</v>
      </c>
      <c r="AC168" s="33" t="e">
        <f t="shared" si="74"/>
        <v>#NUM!</v>
      </c>
      <c r="AD168" s="32" t="e">
        <f t="shared" si="75"/>
        <v>#NUM!</v>
      </c>
      <c r="AE168" s="32" t="e">
        <f t="shared" si="76"/>
        <v>#NUM!</v>
      </c>
      <c r="AF168" s="42" t="e">
        <f t="shared" si="77"/>
        <v>#NUM!</v>
      </c>
      <c r="AG168" s="83">
        <f t="shared" si="78"/>
        <v>25.386480620584209</v>
      </c>
    </row>
    <row r="169" spans="1:33" x14ac:dyDescent="0.25">
      <c r="A169" s="23" t="str">
        <f>Weather_Site!A172</f>
        <v>Sat</v>
      </c>
      <c r="B169" s="24">
        <f>Weather_Site!B172</f>
        <v>44555</v>
      </c>
      <c r="C169" s="25">
        <f>Weather_Site!C172</f>
        <v>0.83333333333333337</v>
      </c>
      <c r="D169" s="27">
        <f>Weather_Site!D172</f>
        <v>35.4</v>
      </c>
      <c r="E169" s="27">
        <f>Weather_Site!E172</f>
        <v>16.3</v>
      </c>
      <c r="F169" s="28">
        <f>Weather_Site!F172</f>
        <v>175</v>
      </c>
      <c r="G169" s="27">
        <f>Weather_Site!G172</f>
        <v>15</v>
      </c>
      <c r="H169" s="27">
        <f>IF(Weather_Site!M172&lt;180,Weather_Site!M172+180,Weather_Site!M172-180)</f>
        <v>355</v>
      </c>
      <c r="I169" s="172">
        <f t="shared" si="79"/>
        <v>0</v>
      </c>
      <c r="J169" s="214">
        <f t="shared" si="80"/>
        <v>3</v>
      </c>
      <c r="K169" s="27">
        <f t="shared" si="59"/>
        <v>5</v>
      </c>
      <c r="L169" s="172">
        <f t="shared" si="81"/>
        <v>24</v>
      </c>
      <c r="M169" s="32">
        <f>IF(Use_BOM_DF,Weather_Site!H172,IF(0.191*(Weather_Site!K172+104)*(Weather_Site!J172+1)^1.5/(3.52*(Weather_Site!J172+1)^1.5+Weather_Site!I172-1)&gt;10, 10,0.191*(Weather_Site!K172+104)*(Weather_Site!J172+1)^1.5/(3.52*(Weather_Site!J172+1)^1.5+Weather_Site!I172-1)))</f>
        <v>7.882539682539683</v>
      </c>
      <c r="N169" s="32">
        <f t="shared" si="60"/>
        <v>26.209629340808554</v>
      </c>
      <c r="O169" s="33">
        <f t="shared" si="61"/>
        <v>754.8373250152863</v>
      </c>
      <c r="P169" s="33">
        <f t="shared" si="62"/>
        <v>531.39321361459656</v>
      </c>
      <c r="Q169" s="32">
        <f t="shared" si="63"/>
        <v>13.572885225198723</v>
      </c>
      <c r="R169" s="42">
        <f t="shared" si="64"/>
        <v>2189.8404839016375</v>
      </c>
      <c r="S169" s="42">
        <f t="shared" si="65"/>
        <v>7378.519611499386</v>
      </c>
      <c r="T169" s="42">
        <f t="shared" si="66"/>
        <v>35187.657142857141</v>
      </c>
      <c r="U169" s="32">
        <f t="shared" si="67"/>
        <v>3.8517242852218501</v>
      </c>
      <c r="V169" s="33">
        <f t="shared" si="68"/>
        <v>5</v>
      </c>
      <c r="W169" s="33">
        <f t="shared" si="69"/>
        <v>12.5</v>
      </c>
      <c r="X169" s="32">
        <f t="shared" si="70"/>
        <v>18.451153250506827</v>
      </c>
      <c r="Y169" s="32">
        <f t="shared" si="71"/>
        <v>2.932900000000001</v>
      </c>
      <c r="Z169" s="32" t="e">
        <f>IF(Use_BOM_DF,M169/10,MIN(0.972+(0.342*LN(Weather_Site!J172))-(0.245*LN(Weather_Site!I172)),1))</f>
        <v>#NUM!</v>
      </c>
      <c r="AA169" s="33" t="e">
        <f t="shared" si="72"/>
        <v>#NUM!</v>
      </c>
      <c r="AB169" s="33" t="e">
        <f t="shared" si="73"/>
        <v>#NUM!</v>
      </c>
      <c r="AC169" s="33" t="e">
        <f t="shared" si="74"/>
        <v>#NUM!</v>
      </c>
      <c r="AD169" s="32" t="e">
        <f t="shared" si="75"/>
        <v>#NUM!</v>
      </c>
      <c r="AE169" s="32" t="e">
        <f t="shared" si="76"/>
        <v>#NUM!</v>
      </c>
      <c r="AF169" s="42" t="e">
        <f t="shared" si="77"/>
        <v>#NUM!</v>
      </c>
      <c r="AG169" s="83">
        <f t="shared" si="78"/>
        <v>22.951277819639916</v>
      </c>
    </row>
    <row r="170" spans="1:33" x14ac:dyDescent="0.25">
      <c r="A170" s="23" t="str">
        <f>Weather_Site!A173</f>
        <v>Sat</v>
      </c>
      <c r="B170" s="24">
        <f>Weather_Site!B173</f>
        <v>44555</v>
      </c>
      <c r="C170" s="25">
        <f>Weather_Site!C173</f>
        <v>0.875</v>
      </c>
      <c r="D170" s="27">
        <f>Weather_Site!D173</f>
        <v>32.799999999999997</v>
      </c>
      <c r="E170" s="27">
        <f>Weather_Site!E173</f>
        <v>19.899999999999999</v>
      </c>
      <c r="F170" s="28">
        <f>Weather_Site!F173</f>
        <v>175</v>
      </c>
      <c r="G170" s="27">
        <f>Weather_Site!G173</f>
        <v>14</v>
      </c>
      <c r="H170" s="27">
        <f>IF(Weather_Site!M173&lt;180,Weather_Site!M173+180,Weather_Site!M173-180)</f>
        <v>355</v>
      </c>
      <c r="I170" s="172">
        <f t="shared" si="79"/>
        <v>0</v>
      </c>
      <c r="J170" s="214">
        <f t="shared" si="80"/>
        <v>3</v>
      </c>
      <c r="K170" s="27">
        <f t="shared" si="59"/>
        <v>4.666666666666667</v>
      </c>
      <c r="L170" s="172">
        <f t="shared" si="81"/>
        <v>24</v>
      </c>
      <c r="M170" s="32">
        <f>IF(Use_BOM_DF,Weather_Site!H173,IF(0.191*(Weather_Site!K173+104)*(Weather_Site!J173+1)^1.5/(3.52*(Weather_Site!J173+1)^1.5+Weather_Site!I173-1)&gt;10, 10,0.191*(Weather_Site!K173+104)*(Weather_Site!J173+1)^1.5/(3.52*(Weather_Site!J173+1)^1.5+Weather_Site!I173-1)))</f>
        <v>7.882539682539683</v>
      </c>
      <c r="N170" s="32">
        <f t="shared" si="60"/>
        <v>20.710625449955451</v>
      </c>
      <c r="O170" s="33">
        <f t="shared" si="61"/>
        <v>596.46601295871687</v>
      </c>
      <c r="P170" s="33">
        <f t="shared" si="62"/>
        <v>429.84396144816964</v>
      </c>
      <c r="Q170" s="32">
        <f t="shared" si="63"/>
        <v>11.514058168463318</v>
      </c>
      <c r="R170" s="42">
        <f t="shared" si="64"/>
        <v>1654.8621917745461</v>
      </c>
      <c r="S170" s="42">
        <f t="shared" si="65"/>
        <v>5830.4432337386252</v>
      </c>
      <c r="T170" s="42">
        <f t="shared" si="66"/>
        <v>35187.657142857141</v>
      </c>
      <c r="U170" s="32">
        <f t="shared" si="67"/>
        <v>4.1305149537112733</v>
      </c>
      <c r="V170" s="33">
        <f t="shared" si="68"/>
        <v>4.666666666666667</v>
      </c>
      <c r="W170" s="33">
        <f t="shared" si="69"/>
        <v>11.666666666666668</v>
      </c>
      <c r="X170" s="32">
        <f t="shared" si="70"/>
        <v>14.925137550283671</v>
      </c>
      <c r="Y170" s="32">
        <f t="shared" si="71"/>
        <v>3.8537000000000008</v>
      </c>
      <c r="Z170" s="32" t="e">
        <f>IF(Use_BOM_DF,M170/10,MIN(0.972+(0.342*LN(Weather_Site!J173))-(0.245*LN(Weather_Site!I173)),1))</f>
        <v>#NUM!</v>
      </c>
      <c r="AA170" s="33" t="e">
        <f t="shared" si="72"/>
        <v>#NUM!</v>
      </c>
      <c r="AB170" s="33" t="e">
        <f t="shared" si="73"/>
        <v>#NUM!</v>
      </c>
      <c r="AC170" s="33" t="e">
        <f t="shared" si="74"/>
        <v>#NUM!</v>
      </c>
      <c r="AD170" s="32" t="e">
        <f t="shared" si="75"/>
        <v>#NUM!</v>
      </c>
      <c r="AE170" s="32" t="e">
        <f t="shared" si="76"/>
        <v>#NUM!</v>
      </c>
      <c r="AF170" s="42" t="e">
        <f t="shared" si="77"/>
        <v>#NUM!</v>
      </c>
      <c r="AG170" s="83">
        <f t="shared" si="78"/>
        <v>19.360272444042135</v>
      </c>
    </row>
    <row r="171" spans="1:33" x14ac:dyDescent="0.25">
      <c r="A171" s="23" t="str">
        <f>Weather_Site!A174</f>
        <v>Sat</v>
      </c>
      <c r="B171" s="24">
        <f>Weather_Site!B174</f>
        <v>44555</v>
      </c>
      <c r="C171" s="25">
        <f>Weather_Site!C174</f>
        <v>0.91666666666666663</v>
      </c>
      <c r="D171" s="27">
        <f>Weather_Site!D174</f>
        <v>30.4</v>
      </c>
      <c r="E171" s="27">
        <f>Weather_Site!E174</f>
        <v>23.9</v>
      </c>
      <c r="F171" s="28">
        <f>Weather_Site!F174</f>
        <v>155</v>
      </c>
      <c r="G171" s="27">
        <f>Weather_Site!G174</f>
        <v>14</v>
      </c>
      <c r="H171" s="27">
        <f>IF(Weather_Site!M174&lt;180,Weather_Site!M174+180,Weather_Site!M174-180)</f>
        <v>335</v>
      </c>
      <c r="I171" s="172">
        <f t="shared" si="79"/>
        <v>0</v>
      </c>
      <c r="J171" s="214">
        <f t="shared" si="80"/>
        <v>3</v>
      </c>
      <c r="K171" s="27">
        <f t="shared" si="59"/>
        <v>4.666666666666667</v>
      </c>
      <c r="L171" s="172">
        <f t="shared" si="81"/>
        <v>24</v>
      </c>
      <c r="M171" s="32">
        <f>IF(Use_BOM_DF,Weather_Site!H174,IF(0.191*(Weather_Site!K174+104)*(Weather_Site!J174+1)^1.5/(3.52*(Weather_Site!J174+1)^1.5+Weather_Site!I174-1)&gt;10, 10,0.191*(Weather_Site!K174+104)*(Weather_Site!J174+1)^1.5/(3.52*(Weather_Site!J174+1)^1.5+Weather_Site!I174-1)))</f>
        <v>7.882539682539683</v>
      </c>
      <c r="N171" s="32">
        <f t="shared" si="60"/>
        <v>16.635298864851709</v>
      </c>
      <c r="O171" s="33">
        <f t="shared" si="61"/>
        <v>479.09660730772919</v>
      </c>
      <c r="P171" s="33">
        <f t="shared" si="62"/>
        <v>345.26155577582904</v>
      </c>
      <c r="Q171" s="32">
        <f t="shared" si="63"/>
        <v>9.9882558950004796</v>
      </c>
      <c r="R171" s="42">
        <f t="shared" si="64"/>
        <v>1258.3883394855091</v>
      </c>
      <c r="S171" s="42">
        <f t="shared" si="65"/>
        <v>4683.1596632444107</v>
      </c>
      <c r="T171" s="42">
        <f t="shared" si="66"/>
        <v>35187.657142857141</v>
      </c>
      <c r="U171" s="32">
        <f t="shared" si="67"/>
        <v>4.4792456731856234</v>
      </c>
      <c r="V171" s="33">
        <f t="shared" si="68"/>
        <v>4.666666666666667</v>
      </c>
      <c r="W171" s="33">
        <f t="shared" si="69"/>
        <v>11.666666666666668</v>
      </c>
      <c r="X171" s="32">
        <f t="shared" si="70"/>
        <v>11.988248464438509</v>
      </c>
      <c r="Y171" s="32">
        <f t="shared" si="71"/>
        <v>4.7937000000000003</v>
      </c>
      <c r="Z171" s="32" t="e">
        <f>IF(Use_BOM_DF,M171/10,MIN(0.972+(0.342*LN(Weather_Site!J174))-(0.245*LN(Weather_Site!I174)),1))</f>
        <v>#NUM!</v>
      </c>
      <c r="AA171" s="33" t="e">
        <f t="shared" si="72"/>
        <v>#NUM!</v>
      </c>
      <c r="AB171" s="33" t="e">
        <f t="shared" si="73"/>
        <v>#NUM!</v>
      </c>
      <c r="AC171" s="33" t="e">
        <f t="shared" si="74"/>
        <v>#NUM!</v>
      </c>
      <c r="AD171" s="32" t="e">
        <f t="shared" si="75"/>
        <v>#NUM!</v>
      </c>
      <c r="AE171" s="32" t="e">
        <f t="shared" si="76"/>
        <v>#NUM!</v>
      </c>
      <c r="AF171" s="42" t="e">
        <f t="shared" si="77"/>
        <v>#NUM!</v>
      </c>
      <c r="AG171" s="83">
        <f t="shared" si="78"/>
        <v>16.330144512155929</v>
      </c>
    </row>
    <row r="172" spans="1:33" x14ac:dyDescent="0.25">
      <c r="A172" s="23" t="str">
        <f>Weather_Site!A175</f>
        <v>Sat</v>
      </c>
      <c r="B172" s="24">
        <f>Weather_Site!B175</f>
        <v>44555</v>
      </c>
      <c r="C172" s="25">
        <f>Weather_Site!C175</f>
        <v>0.95833333333333337</v>
      </c>
      <c r="D172" s="27">
        <f>Weather_Site!D175</f>
        <v>28.7</v>
      </c>
      <c r="E172" s="27">
        <f>Weather_Site!E175</f>
        <v>27.7</v>
      </c>
      <c r="F172" s="28">
        <f>Weather_Site!F175</f>
        <v>152</v>
      </c>
      <c r="G172" s="27">
        <f>Weather_Site!G175</f>
        <v>15</v>
      </c>
      <c r="H172" s="27">
        <f>IF(Weather_Site!M175&lt;180,Weather_Site!M175+180,Weather_Site!M175-180)</f>
        <v>332</v>
      </c>
      <c r="I172" s="172">
        <f t="shared" si="79"/>
        <v>0</v>
      </c>
      <c r="J172" s="214">
        <f t="shared" si="80"/>
        <v>3</v>
      </c>
      <c r="K172" s="27">
        <f t="shared" si="59"/>
        <v>5</v>
      </c>
      <c r="L172" s="172">
        <f t="shared" si="81"/>
        <v>24</v>
      </c>
      <c r="M172" s="32">
        <f>IF(Use_BOM_DF,Weather_Site!H175,IF(0.191*(Weather_Site!K175+104)*(Weather_Site!J175+1)^1.5/(3.52*(Weather_Site!J175+1)^1.5+Weather_Site!I175-1)&gt;10, 10,0.191*(Weather_Site!K175+104)*(Weather_Site!J175+1)^1.5/(3.52*(Weather_Site!J175+1)^1.5+Weather_Site!I175-1)))</f>
        <v>7.882539682539683</v>
      </c>
      <c r="N172" s="32">
        <f t="shared" si="60"/>
        <v>14.102708559234841</v>
      </c>
      <c r="O172" s="33">
        <f t="shared" si="61"/>
        <v>406.15800650596333</v>
      </c>
      <c r="P172" s="33">
        <f t="shared" si="62"/>
        <v>285.92863807858384</v>
      </c>
      <c r="Q172" s="32">
        <f t="shared" si="63"/>
        <v>9.0400540845775232</v>
      </c>
      <c r="R172" s="42">
        <f t="shared" si="64"/>
        <v>1012.0017459771442</v>
      </c>
      <c r="S172" s="42">
        <f t="shared" si="65"/>
        <v>3970.1863130722322</v>
      </c>
      <c r="T172" s="42">
        <f t="shared" si="66"/>
        <v>35187.657142857141</v>
      </c>
      <c r="U172" s="32">
        <f t="shared" si="67"/>
        <v>4.8405310753881308</v>
      </c>
      <c r="V172" s="33">
        <f t="shared" si="68"/>
        <v>5</v>
      </c>
      <c r="W172" s="33">
        <f t="shared" si="69"/>
        <v>12.5</v>
      </c>
      <c r="X172" s="32">
        <f t="shared" si="70"/>
        <v>9.92807771106194</v>
      </c>
      <c r="Y172" s="32">
        <f t="shared" si="71"/>
        <v>5.5880999999999998</v>
      </c>
      <c r="Z172" s="32" t="e">
        <f>IF(Use_BOM_DF,M172/10,MIN(0.972+(0.342*LN(Weather_Site!J175))-(0.245*LN(Weather_Site!I175)),1))</f>
        <v>#NUM!</v>
      </c>
      <c r="AA172" s="33" t="e">
        <f t="shared" si="72"/>
        <v>#NUM!</v>
      </c>
      <c r="AB172" s="33" t="e">
        <f t="shared" si="73"/>
        <v>#NUM!</v>
      </c>
      <c r="AC172" s="33" t="e">
        <f t="shared" si="74"/>
        <v>#NUM!</v>
      </c>
      <c r="AD172" s="32" t="e">
        <f t="shared" si="75"/>
        <v>#NUM!</v>
      </c>
      <c r="AE172" s="32" t="e">
        <f t="shared" si="76"/>
        <v>#NUM!</v>
      </c>
      <c r="AF172" s="42" t="e">
        <f t="shared" si="77"/>
        <v>#NUM!</v>
      </c>
      <c r="AG172" s="83">
        <f t="shared" si="78"/>
        <v>14.203894780302631</v>
      </c>
    </row>
    <row r="173" spans="1:33" x14ac:dyDescent="0.25">
      <c r="A173" s="23" t="str">
        <f>Weather_Site!A176</f>
        <v>Sun</v>
      </c>
      <c r="B173" s="24">
        <f>Weather_Site!B176</f>
        <v>44556</v>
      </c>
      <c r="C173" s="25">
        <f>Weather_Site!C176</f>
        <v>0</v>
      </c>
      <c r="D173" s="27">
        <f>Weather_Site!D176</f>
        <v>26.9</v>
      </c>
      <c r="E173" s="27">
        <f>Weather_Site!E176</f>
        <v>32</v>
      </c>
      <c r="F173" s="28">
        <f>Weather_Site!F176</f>
        <v>160</v>
      </c>
      <c r="G173" s="27">
        <f>Weather_Site!G176</f>
        <v>14</v>
      </c>
      <c r="H173" s="27">
        <f>IF(Weather_Site!M176&lt;180,Weather_Site!M176+180,Weather_Site!M176-180)</f>
        <v>340</v>
      </c>
      <c r="I173" s="172">
        <f t="shared" si="79"/>
        <v>0</v>
      </c>
      <c r="J173" s="214">
        <f t="shared" si="80"/>
        <v>3</v>
      </c>
      <c r="K173" s="27">
        <f t="shared" si="59"/>
        <v>4.666666666666667</v>
      </c>
      <c r="L173" s="172">
        <f t="shared" si="81"/>
        <v>24</v>
      </c>
      <c r="M173" s="32">
        <f>IF(Use_BOM_DF,Weather_Site!H176,IF(0.191*(Weather_Site!K176+104)*(Weather_Site!J176+1)^1.5/(3.52*(Weather_Site!J176+1)^1.5+Weather_Site!I176-1)&gt;10, 10,0.191*(Weather_Site!K176+104)*(Weather_Site!J176+1)^1.5/(3.52*(Weather_Site!J176+1)^1.5+Weather_Site!I176-1)))</f>
        <v>7.882539682539683</v>
      </c>
      <c r="N173" s="32">
        <f t="shared" si="60"/>
        <v>11.176092240166092</v>
      </c>
      <c r="O173" s="33">
        <f t="shared" si="61"/>
        <v>321.87145651678338</v>
      </c>
      <c r="P173" s="33">
        <f t="shared" si="62"/>
        <v>231.95705864274001</v>
      </c>
      <c r="Q173" s="32">
        <f t="shared" si="63"/>
        <v>7.9443289347181825</v>
      </c>
      <c r="R173" s="42">
        <f t="shared" si="64"/>
        <v>727.28178011369425</v>
      </c>
      <c r="S173" s="42">
        <f t="shared" si="65"/>
        <v>3146.2869887135789</v>
      </c>
      <c r="T173" s="42">
        <f t="shared" si="66"/>
        <v>35187.657142857141</v>
      </c>
      <c r="U173" s="32">
        <f t="shared" si="67"/>
        <v>5.3050347588078912</v>
      </c>
      <c r="V173" s="33">
        <f t="shared" si="68"/>
        <v>4.666666666666667</v>
      </c>
      <c r="W173" s="33">
        <f t="shared" si="69"/>
        <v>11.666666666666668</v>
      </c>
      <c r="X173" s="32">
        <f t="shared" si="70"/>
        <v>8.0540645362062513</v>
      </c>
      <c r="Y173" s="32">
        <f t="shared" si="71"/>
        <v>8.5172000000000008</v>
      </c>
      <c r="Z173" s="32" t="e">
        <f>IF(Use_BOM_DF,M173/10,MIN(0.972+(0.342*LN(Weather_Site!J176))-(0.245*LN(Weather_Site!I176)),1))</f>
        <v>#NUM!</v>
      </c>
      <c r="AA173" s="33" t="e">
        <f t="shared" si="72"/>
        <v>#NUM!</v>
      </c>
      <c r="AB173" s="33" t="e">
        <f t="shared" si="73"/>
        <v>#NUM!</v>
      </c>
      <c r="AC173" s="33" t="e">
        <f t="shared" si="74"/>
        <v>#NUM!</v>
      </c>
      <c r="AD173" s="32" t="e">
        <f t="shared" si="75"/>
        <v>#NUM!</v>
      </c>
      <c r="AE173" s="32" t="e">
        <f t="shared" si="76"/>
        <v>#NUM!</v>
      </c>
      <c r="AF173" s="42" t="e">
        <f t="shared" si="77"/>
        <v>#NUM!</v>
      </c>
      <c r="AG173" s="83">
        <f t="shared" si="78"/>
        <v>11.446560052807177</v>
      </c>
    </row>
    <row r="174" spans="1:33" x14ac:dyDescent="0.25">
      <c r="A174" s="23" t="str">
        <f>Weather_Site!A177</f>
        <v>Sun</v>
      </c>
      <c r="B174" s="24">
        <f>Weather_Site!B177</f>
        <v>44556</v>
      </c>
      <c r="C174" s="25">
        <f>Weather_Site!C177</f>
        <v>4.1666666666666664E-2</v>
      </c>
      <c r="D174" s="27">
        <f>Weather_Site!D177</f>
        <v>25.2</v>
      </c>
      <c r="E174" s="27">
        <f>Weather_Site!E177</f>
        <v>35.4</v>
      </c>
      <c r="F174" s="28">
        <f>Weather_Site!F177</f>
        <v>190</v>
      </c>
      <c r="G174" s="27">
        <f>Weather_Site!G177</f>
        <v>15</v>
      </c>
      <c r="H174" s="27">
        <f>IF(Weather_Site!M177&lt;180,Weather_Site!M177+180,Weather_Site!M177-180)</f>
        <v>10</v>
      </c>
      <c r="I174" s="172">
        <f t="shared" si="79"/>
        <v>0</v>
      </c>
      <c r="J174" s="214">
        <f t="shared" si="80"/>
        <v>3</v>
      </c>
      <c r="K174" s="27">
        <f t="shared" si="59"/>
        <v>5</v>
      </c>
      <c r="L174" s="172">
        <f t="shared" si="81"/>
        <v>24</v>
      </c>
      <c r="M174" s="32">
        <f>IF(Use_BOM_DF,Weather_Site!H177,IF(0.191*(Weather_Site!K177+104)*(Weather_Site!J177+1)^1.5/(3.52*(Weather_Site!J177+1)^1.5+Weather_Site!I177-1)&gt;10, 10,0.191*(Weather_Site!K177+104)*(Weather_Site!J177+1)^1.5/(3.52*(Weather_Site!J177+1)^1.5+Weather_Site!I177-1)))</f>
        <v>7.882539682539683</v>
      </c>
      <c r="N174" s="32">
        <f t="shared" si="60"/>
        <v>9.6062783099566929</v>
      </c>
      <c r="O174" s="33">
        <f t="shared" si="61"/>
        <v>276.66081532675275</v>
      </c>
      <c r="P174" s="33">
        <f t="shared" si="62"/>
        <v>194.76471931848411</v>
      </c>
      <c r="Q174" s="32">
        <f t="shared" si="63"/>
        <v>7.3565905992477845</v>
      </c>
      <c r="R174" s="42">
        <f t="shared" si="64"/>
        <v>574.56023417377082</v>
      </c>
      <c r="S174" s="42">
        <f t="shared" si="65"/>
        <v>2704.3538839054036</v>
      </c>
      <c r="T174" s="42">
        <f t="shared" si="66"/>
        <v>35187.657142857141</v>
      </c>
      <c r="U174" s="32">
        <f t="shared" si="67"/>
        <v>5.7430701514419376</v>
      </c>
      <c r="V174" s="33">
        <f t="shared" si="68"/>
        <v>5</v>
      </c>
      <c r="W174" s="33">
        <f t="shared" si="69"/>
        <v>12.5</v>
      </c>
      <c r="X174" s="32">
        <f t="shared" si="70"/>
        <v>6.762663865225143</v>
      </c>
      <c r="Y174" s="32">
        <f t="shared" si="71"/>
        <v>9.3774000000000015</v>
      </c>
      <c r="Z174" s="32" t="e">
        <f>IF(Use_BOM_DF,M174/10,MIN(0.972+(0.342*LN(Weather_Site!J177))-(0.245*LN(Weather_Site!I177)),1))</f>
        <v>#NUM!</v>
      </c>
      <c r="AA174" s="33" t="e">
        <f t="shared" si="72"/>
        <v>#NUM!</v>
      </c>
      <c r="AB174" s="33" t="e">
        <f t="shared" si="73"/>
        <v>#NUM!</v>
      </c>
      <c r="AC174" s="33" t="e">
        <f t="shared" si="74"/>
        <v>#NUM!</v>
      </c>
      <c r="AD174" s="32" t="e">
        <f t="shared" si="75"/>
        <v>#NUM!</v>
      </c>
      <c r="AE174" s="32" t="e">
        <f t="shared" si="76"/>
        <v>#NUM!</v>
      </c>
      <c r="AF174" s="42" t="e">
        <f t="shared" si="77"/>
        <v>#NUM!</v>
      </c>
      <c r="AG174" s="83">
        <f t="shared" si="78"/>
        <v>9.9192792847677005</v>
      </c>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99060</xdr:colOff>
                <xdr:row>2</xdr:row>
                <xdr:rowOff>30480</xdr:rowOff>
              </from>
              <to>
                <xdr:col>4</xdr:col>
                <xdr:colOff>586740</xdr:colOff>
                <xdr:row>3</xdr:row>
                <xdr:rowOff>137160</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22860</xdr:colOff>
                <xdr:row>2</xdr:row>
                <xdr:rowOff>60960</xdr:rowOff>
              </from>
              <to>
                <xdr:col>12</xdr:col>
                <xdr:colOff>7620</xdr:colOff>
                <xdr:row>4</xdr:row>
                <xdr:rowOff>7620</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IF(AND(OR(MONTH(B14)&gt;10,MONTH(B14)&lt;3),AND(HOUR(C14)&gt;=13,HOUR(C14)&lt;=17)),J14,IF(OR(HOUR(C14)&lt;6,HOUR(C14)&gt;=20),L14,K14))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f>
        <v>3.7379929525249893</v>
      </c>
      <c r="S14" s="637">
        <f>MAX(50,ABS(176.969*(ATAN($D$6)*(P14/G14^0.25)^0.5)+1568800*($D$6^-1*(P14/G14^0.25)^-1.5)-3015.09))</f>
        <v>1248.3335095753946</v>
      </c>
      <c r="T14" s="638">
        <f>18600*P14/3600*F$11/10</f>
        <v>8525.2912788790254</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9" si="1">C$4</f>
        <v>0</v>
      </c>
      <c r="I15" s="27">
        <f>IF(Weather_Site!M13&lt;180,Weather_Site!M13+180,Weather_Site!M13-180)</f>
        <v>132</v>
      </c>
      <c r="J15" s="635">
        <f t="shared" ref="J15:J78" si="2">2.76+0.124*E15-0.0187*D15</f>
        <v>5.3442799999999995</v>
      </c>
      <c r="K15" s="635">
        <f t="shared" ref="K15:K78" si="3">3.6+0.169*E15-0.045*D15</f>
        <v>6.6615999999999991</v>
      </c>
      <c r="L15" s="635">
        <f t="shared" ref="L15:L78" si="4">3.08+0.198*E15-0.0483*D15</f>
        <v>6.7713199999999993</v>
      </c>
      <c r="M15" s="635">
        <f t="shared" ref="M15:M78" si="5">IF(AND(OR(MONTH(B15)&gt;10,MONTH(B15)&lt;3),AND(HOUR(C15)&gt;=13,HOUR(C15)&lt;=17)),J15,IF(OR(HOUR(C15)&lt;6,HOUR(C15)&gt;=20),L15,K15))</f>
        <v>6.7713199999999993</v>
      </c>
      <c r="N15" s="636">
        <f t="shared" ref="N15:N78" si="6">M15^-1.495/0.0545</f>
        <v>1.051348881644474</v>
      </c>
      <c r="O15" s="635">
        <f t="shared" ref="O15:O78" si="7">EXP(0.069*H15)</f>
        <v>1</v>
      </c>
      <c r="P15" s="637">
        <f t="shared" ref="P15:P78" si="8">(30+1.531*(IF(G15&lt;5,0,G15-5))^0.858*$D$6^0.93*($D$7*$C$8)^0.637*1.03)*N15*O15</f>
        <v>546.92721532221162</v>
      </c>
      <c r="Q15" s="637">
        <f t="shared" ref="Q15:Q78" si="9">(30+1.531*(IF((0.2*G16+4)&lt;5,0,(0.2*G16+6)-5))^0.858*$D$6^0.93*($D$7*$C$8)^0.637*1.03)*N15</f>
        <v>328.04403900297507</v>
      </c>
      <c r="R15" s="635">
        <f t="shared" ref="R15:R78" si="10">0.0193*P15^0.723*EXP(0.64*$C$10)</f>
        <v>3.0721268021188042</v>
      </c>
      <c r="S15" s="637">
        <f t="shared" ref="S15:S78" si="11">MAX(50,ABS(176.969*(ATAN($D$6)*(P15/G15^0.25)^0.5)+1568800*($D$6^-1*(P15/G15^0.25)^-1.5)-3015.09))</f>
        <v>843.31939293284358</v>
      </c>
      <c r="T15" s="638">
        <f t="shared" ref="T15:T78" si="12">18600*P15/3600*F$11/10</f>
        <v>6499.3184087456148</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7.1922000000000015</v>
      </c>
      <c r="N16" s="636">
        <f t="shared" si="6"/>
        <v>0.96071633032703596</v>
      </c>
      <c r="O16" s="635">
        <f t="shared" si="7"/>
        <v>1</v>
      </c>
      <c r="P16" s="637">
        <f t="shared" si="8"/>
        <v>647.7568275218058</v>
      </c>
      <c r="Q16" s="637">
        <f t="shared" si="9"/>
        <v>396.76752553840561</v>
      </c>
      <c r="R16" s="635">
        <f t="shared" si="10"/>
        <v>3.4718980123016281</v>
      </c>
      <c r="S16" s="637">
        <f t="shared" si="11"/>
        <v>1052.6429518657378</v>
      </c>
      <c r="T16" s="638">
        <f t="shared" si="12"/>
        <v>7697.5103003841268</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7.3308</v>
      </c>
      <c r="N17" s="636">
        <f t="shared" si="6"/>
        <v>0.93368890431604723</v>
      </c>
      <c r="O17" s="635">
        <f t="shared" si="7"/>
        <v>1</v>
      </c>
      <c r="P17" s="637">
        <f t="shared" si="8"/>
        <v>1032.675305292518</v>
      </c>
      <c r="Q17" s="637">
        <f t="shared" si="9"/>
        <v>456.10373528556249</v>
      </c>
      <c r="R17" s="635">
        <f t="shared" si="10"/>
        <v>4.864205395745727</v>
      </c>
      <c r="S17" s="637">
        <f t="shared" si="11"/>
        <v>1787.8333538704592</v>
      </c>
      <c r="T17" s="638">
        <f t="shared" si="12"/>
        <v>12271.624877892757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448.75760603666316</v>
      </c>
      <c r="R18" s="635">
        <f t="shared" si="10"/>
        <v>6.2717674488781272</v>
      </c>
      <c r="S18" s="637">
        <f t="shared" si="11"/>
        <v>2509.9685240642984</v>
      </c>
      <c r="T18" s="638">
        <f t="shared" si="12"/>
        <v>17440.896119966979</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548">
        <f t="shared" si="1"/>
        <v>0</v>
      </c>
      <c r="I19" s="48">
        <f>IF(Weather_Site!M17&lt;180,Weather_Site!M17+180,Weather_Site!M17-180)</f>
        <v>148</v>
      </c>
      <c r="J19" s="639">
        <f t="shared" si="2"/>
        <v>5.7140099999999991</v>
      </c>
      <c r="K19" s="639">
        <f t="shared" si="3"/>
        <v>7.0855000000000006</v>
      </c>
      <c r="L19" s="639">
        <f t="shared" si="4"/>
        <v>7.2860900000000006</v>
      </c>
      <c r="M19" s="639">
        <f t="shared" si="5"/>
        <v>7.0855000000000006</v>
      </c>
      <c r="N19" s="640">
        <f t="shared" si="6"/>
        <v>0.98242543239528668</v>
      </c>
      <c r="O19" s="639">
        <f t="shared" si="7"/>
        <v>1</v>
      </c>
      <c r="P19" s="641">
        <f t="shared" si="8"/>
        <v>1176.6577084672501</v>
      </c>
      <c r="Q19" s="641">
        <f t="shared" si="9"/>
        <v>582.54069425159173</v>
      </c>
      <c r="R19" s="639">
        <f t="shared" si="10"/>
        <v>5.3455960583364801</v>
      </c>
      <c r="S19" s="641">
        <f t="shared" si="11"/>
        <v>2051.5393149911479</v>
      </c>
      <c r="T19" s="642">
        <f t="shared" si="12"/>
        <v>13982.615768952488</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548">
        <f t="shared" ref="H20:H51" si="13">C$4</f>
        <v>0</v>
      </c>
      <c r="I20" s="48">
        <f>IF(Weather_Site!M18&lt;180,Weather_Site!M18+180,Weather_Site!M18-180)</f>
        <v>148</v>
      </c>
      <c r="J20" s="639">
        <f t="shared" si="2"/>
        <v>6.1751700000000005</v>
      </c>
      <c r="K20" s="639">
        <f t="shared" si="3"/>
        <v>7.6905999999999999</v>
      </c>
      <c r="L20" s="639">
        <f t="shared" si="4"/>
        <v>8.0003299999999999</v>
      </c>
      <c r="M20" s="639">
        <f t="shared" si="5"/>
        <v>7.6905999999999999</v>
      </c>
      <c r="N20" s="640">
        <f t="shared" si="6"/>
        <v>0.86914645554883674</v>
      </c>
      <c r="O20" s="639">
        <f t="shared" si="7"/>
        <v>1</v>
      </c>
      <c r="P20" s="641">
        <f t="shared" si="8"/>
        <v>1611.497651670154</v>
      </c>
      <c r="Q20" s="641">
        <f t="shared" si="9"/>
        <v>524.2894679449995</v>
      </c>
      <c r="R20" s="639">
        <f t="shared" si="10"/>
        <v>6.7103185941568677</v>
      </c>
      <c r="S20" s="641">
        <f t="shared" si="11"/>
        <v>2579.1449551337455</v>
      </c>
      <c r="T20" s="642">
        <f t="shared" si="12"/>
        <v>19149.96376068033</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548">
        <f t="shared" si="13"/>
        <v>0</v>
      </c>
      <c r="I21" s="48">
        <f>IF(Weather_Site!M19&lt;180,Weather_Site!M19+180,Weather_Site!M19-180)</f>
        <v>146</v>
      </c>
      <c r="J21" s="639">
        <f t="shared" si="2"/>
        <v>6.5682299999999998</v>
      </c>
      <c r="K21" s="639">
        <f t="shared" si="3"/>
        <v>8.2224000000000004</v>
      </c>
      <c r="L21" s="639">
        <f t="shared" si="4"/>
        <v>8.624270000000001</v>
      </c>
      <c r="M21" s="639">
        <f t="shared" si="5"/>
        <v>8.2224000000000004</v>
      </c>
      <c r="N21" s="640">
        <f t="shared" si="6"/>
        <v>0.7864671553441579</v>
      </c>
      <c r="O21" s="639">
        <f t="shared" si="7"/>
        <v>1</v>
      </c>
      <c r="P21" s="641">
        <f t="shared" si="8"/>
        <v>1491.4048806809806</v>
      </c>
      <c r="Q21" s="641">
        <f t="shared" si="9"/>
        <v>490.48530508639305</v>
      </c>
      <c r="R21" s="639">
        <f t="shared" si="10"/>
        <v>6.3449130306733759</v>
      </c>
      <c r="S21" s="641">
        <f t="shared" si="11"/>
        <v>2356.5667344091971</v>
      </c>
      <c r="T21" s="643">
        <f t="shared" si="12"/>
        <v>17722.861332092321</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548">
        <f t="shared" si="13"/>
        <v>0</v>
      </c>
      <c r="I22" s="48">
        <f>IF(Weather_Site!M20&lt;180,Weather_Site!M20+180,Weather_Site!M20-180)</f>
        <v>112</v>
      </c>
      <c r="J22" s="639">
        <f t="shared" si="2"/>
        <v>7.0518299999999998</v>
      </c>
      <c r="K22" s="639">
        <f t="shared" si="3"/>
        <v>8.8815000000000008</v>
      </c>
      <c r="L22" s="639">
        <f t="shared" si="4"/>
        <v>9.396469999999999</v>
      </c>
      <c r="M22" s="639">
        <f t="shared" si="5"/>
        <v>8.8815000000000008</v>
      </c>
      <c r="N22" s="640">
        <f t="shared" si="6"/>
        <v>0.70083607565584616</v>
      </c>
      <c r="O22" s="639">
        <f t="shared" si="7"/>
        <v>1</v>
      </c>
      <c r="P22" s="641">
        <f t="shared" si="8"/>
        <v>1387.8695646466012</v>
      </c>
      <c r="Q22" s="641">
        <f t="shared" si="9"/>
        <v>401.11968654013259</v>
      </c>
      <c r="R22" s="639">
        <f t="shared" si="10"/>
        <v>6.0232953495920283</v>
      </c>
      <c r="S22" s="641">
        <f t="shared" si="11"/>
        <v>2143.8662817965887</v>
      </c>
      <c r="T22" s="643">
        <f t="shared" si="12"/>
        <v>16492.516659883775</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548">
        <f t="shared" si="13"/>
        <v>0</v>
      </c>
      <c r="I23" s="48">
        <f>IF(Weather_Site!M21&lt;180,Weather_Site!M21+180,Weather_Site!M21-180)</f>
        <v>105</v>
      </c>
      <c r="J23" s="639">
        <f t="shared" si="2"/>
        <v>6.9526300000000001</v>
      </c>
      <c r="K23" s="639">
        <f t="shared" si="3"/>
        <v>8.7463000000000015</v>
      </c>
      <c r="L23" s="639">
        <f t="shared" si="4"/>
        <v>9.2380700000000004</v>
      </c>
      <c r="M23" s="639">
        <f t="shared" si="5"/>
        <v>6.9526300000000001</v>
      </c>
      <c r="N23" s="640">
        <f t="shared" si="6"/>
        <v>1.0106262310413563</v>
      </c>
      <c r="O23" s="639">
        <f t="shared" si="7"/>
        <v>1</v>
      </c>
      <c r="P23" s="641">
        <f t="shared" si="8"/>
        <v>1787.983891377351</v>
      </c>
      <c r="Q23" s="641">
        <f t="shared" si="9"/>
        <v>599.26268889873427</v>
      </c>
      <c r="R23" s="639">
        <f t="shared" si="10"/>
        <v>7.2339410911965567</v>
      </c>
      <c r="S23" s="641">
        <f t="shared" si="11"/>
        <v>2906.3555289186479</v>
      </c>
      <c r="T23" s="643">
        <f t="shared" si="12"/>
        <v>21247.20857586752</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13"/>
        <v>0</v>
      </c>
      <c r="I24" s="27">
        <f>IF(Weather_Site!M22&lt;180,Weather_Site!M22+180,Weather_Site!M22-180)</f>
        <v>97</v>
      </c>
      <c r="J24" s="635">
        <f t="shared" si="2"/>
        <v>6.6232399999999991</v>
      </c>
      <c r="K24" s="635">
        <f t="shared" si="3"/>
        <v>8.2642000000000007</v>
      </c>
      <c r="L24" s="635">
        <f t="shared" si="4"/>
        <v>8.6807599999999994</v>
      </c>
      <c r="M24" s="635">
        <f t="shared" si="5"/>
        <v>6.6232399999999991</v>
      </c>
      <c r="N24" s="636">
        <f t="shared" si="6"/>
        <v>1.0866835967196546</v>
      </c>
      <c r="O24" s="635">
        <f t="shared" si="7"/>
        <v>1</v>
      </c>
      <c r="P24" s="637">
        <f t="shared" si="8"/>
        <v>2014.8365710314999</v>
      </c>
      <c r="Q24" s="637">
        <f t="shared" si="9"/>
        <v>588.08241932980366</v>
      </c>
      <c r="R24" s="635">
        <f t="shared" si="10"/>
        <v>7.8864486023379436</v>
      </c>
      <c r="S24" s="637">
        <f t="shared" si="11"/>
        <v>3226.9482363906654</v>
      </c>
      <c r="T24" s="644">
        <f t="shared" si="12"/>
        <v>23942.974585757656</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13"/>
        <v>0</v>
      </c>
      <c r="I25" s="27">
        <f>IF(Weather_Site!M23&lt;180,Weather_Site!M23+180,Weather_Site!M23-180)</f>
        <v>78</v>
      </c>
      <c r="J25" s="635">
        <f t="shared" si="2"/>
        <v>5.886029999999999</v>
      </c>
      <c r="K25" s="635">
        <f t="shared" si="3"/>
        <v>7.2536000000000005</v>
      </c>
      <c r="L25" s="635">
        <f t="shared" si="4"/>
        <v>7.4980699999999993</v>
      </c>
      <c r="M25" s="635">
        <f t="shared" si="5"/>
        <v>5.886029999999999</v>
      </c>
      <c r="N25" s="636">
        <f t="shared" si="6"/>
        <v>1.2963399441099457</v>
      </c>
      <c r="O25" s="635">
        <f t="shared" si="7"/>
        <v>1</v>
      </c>
      <c r="P25" s="637">
        <f t="shared" si="8"/>
        <v>2126.612674674373</v>
      </c>
      <c r="Q25" s="637">
        <f t="shared" si="9"/>
        <v>701.54250317879189</v>
      </c>
      <c r="R25" s="635">
        <f t="shared" si="10"/>
        <v>8.2003954399925636</v>
      </c>
      <c r="S25" s="637">
        <f t="shared" si="11"/>
        <v>3496.3080960821799</v>
      </c>
      <c r="T25" s="644">
        <f t="shared" si="12"/>
        <v>25271.247284047135</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13"/>
        <v>0</v>
      </c>
      <c r="I26" s="27">
        <f>IF(Weather_Site!M24&lt;180,Weather_Site!M24+180,Weather_Site!M24-180)</f>
        <v>81</v>
      </c>
      <c r="J26" s="635">
        <f t="shared" si="2"/>
        <v>5.2665199999999999</v>
      </c>
      <c r="K26" s="635">
        <f t="shared" si="3"/>
        <v>6.3839000000000006</v>
      </c>
      <c r="L26" s="635">
        <f t="shared" si="4"/>
        <v>6.4848800000000013</v>
      </c>
      <c r="M26" s="635">
        <f t="shared" si="5"/>
        <v>5.2665199999999999</v>
      </c>
      <c r="N26" s="636">
        <f t="shared" si="6"/>
        <v>1.5308248717896895</v>
      </c>
      <c r="O26" s="635">
        <f t="shared" si="7"/>
        <v>1</v>
      </c>
      <c r="P26" s="637">
        <f t="shared" si="8"/>
        <v>2511.2792287596294</v>
      </c>
      <c r="Q26" s="637">
        <f t="shared" si="9"/>
        <v>780.2320722423791</v>
      </c>
      <c r="R26" s="635">
        <f t="shared" si="10"/>
        <v>9.2478371201138501</v>
      </c>
      <c r="S26" s="637">
        <f t="shared" si="11"/>
        <v>4054.393592231263</v>
      </c>
      <c r="T26" s="644">
        <f t="shared" si="12"/>
        <v>29842.368168426932</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13"/>
        <v>0</v>
      </c>
      <c r="I27" s="27">
        <f>IF(Weather_Site!M25&lt;180,Weather_Site!M25+180,Weather_Site!M25-180)</f>
        <v>63</v>
      </c>
      <c r="J27" s="635">
        <f t="shared" si="2"/>
        <v>4.9459900000000001</v>
      </c>
      <c r="K27" s="635">
        <f t="shared" si="3"/>
        <v>5.9489999999999998</v>
      </c>
      <c r="L27" s="635">
        <f t="shared" si="4"/>
        <v>5.9749100000000004</v>
      </c>
      <c r="M27" s="635">
        <f t="shared" si="5"/>
        <v>4.9459900000000001</v>
      </c>
      <c r="N27" s="636">
        <f t="shared" si="6"/>
        <v>1.6814924163832057</v>
      </c>
      <c r="O27" s="635">
        <f t="shared" si="7"/>
        <v>1</v>
      </c>
      <c r="P27" s="637">
        <f t="shared" si="8"/>
        <v>2539.116290400556</v>
      </c>
      <c r="Q27" s="637">
        <f t="shared" si="9"/>
        <v>909.97612487792139</v>
      </c>
      <c r="R27" s="635">
        <f t="shared" si="10"/>
        <v>9.3218389954275267</v>
      </c>
      <c r="S27" s="637">
        <f t="shared" si="11"/>
        <v>4167.9822094774117</v>
      </c>
      <c r="T27" s="644">
        <f t="shared" si="12"/>
        <v>30173.165250926606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13"/>
        <v>0</v>
      </c>
      <c r="I28" s="27">
        <f>IF(Weather_Site!M26&lt;180,Weather_Site!M26+180,Weather_Site!M26-180)</f>
        <v>57</v>
      </c>
      <c r="J28" s="635">
        <f t="shared" si="2"/>
        <v>4.8760200000000005</v>
      </c>
      <c r="K28" s="635">
        <f t="shared" si="3"/>
        <v>5.8712</v>
      </c>
      <c r="L28" s="635">
        <f t="shared" si="4"/>
        <v>5.8797800000000002</v>
      </c>
      <c r="M28" s="635">
        <f t="shared" si="5"/>
        <v>5.8712</v>
      </c>
      <c r="N28" s="636">
        <f t="shared" si="6"/>
        <v>1.3012382474286153</v>
      </c>
      <c r="O28" s="635">
        <f t="shared" si="7"/>
        <v>1</v>
      </c>
      <c r="P28" s="637">
        <f t="shared" si="8"/>
        <v>2134.6482165622951</v>
      </c>
      <c r="Q28" s="637">
        <f t="shared" si="9"/>
        <v>704.19332635763624</v>
      </c>
      <c r="R28" s="635">
        <f t="shared" si="10"/>
        <v>8.2227864090507179</v>
      </c>
      <c r="S28" s="637">
        <f t="shared" si="11"/>
        <v>3508.442871700051</v>
      </c>
      <c r="T28" s="644">
        <f t="shared" si="12"/>
        <v>25366.736306815274</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548">
        <f t="shared" si="13"/>
        <v>0</v>
      </c>
      <c r="I29" s="48">
        <f>IF(Weather_Site!M27&lt;180,Weather_Site!M27+180,Weather_Site!M27-180)</f>
        <v>46</v>
      </c>
      <c r="J29" s="639">
        <f t="shared" si="2"/>
        <v>4.9003300000000003</v>
      </c>
      <c r="K29" s="639">
        <f t="shared" si="3"/>
        <v>5.9297000000000004</v>
      </c>
      <c r="L29" s="639">
        <f t="shared" si="4"/>
        <v>5.9425700000000008</v>
      </c>
      <c r="M29" s="639">
        <f t="shared" si="5"/>
        <v>5.9297000000000004</v>
      </c>
      <c r="N29" s="640">
        <f t="shared" si="6"/>
        <v>1.2820931466527088</v>
      </c>
      <c r="O29" s="639">
        <f t="shared" si="7"/>
        <v>1</v>
      </c>
      <c r="P29" s="641">
        <f t="shared" si="8"/>
        <v>2103.2411661563037</v>
      </c>
      <c r="Q29" s="641">
        <f t="shared" si="9"/>
        <v>639.90350732787238</v>
      </c>
      <c r="R29" s="639">
        <f t="shared" si="10"/>
        <v>8.1351372398628374</v>
      </c>
      <c r="S29" s="641">
        <f t="shared" si="11"/>
        <v>3460.8880710881831</v>
      </c>
      <c r="T29" s="643">
        <f t="shared" si="12"/>
        <v>24993.515857824077</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548">
        <f t="shared" si="13"/>
        <v>0</v>
      </c>
      <c r="I30" s="48">
        <f>IF(Weather_Site!M28&lt;180,Weather_Site!M28+180,Weather_Site!M28-180)</f>
        <v>35</v>
      </c>
      <c r="J30" s="639">
        <f t="shared" si="2"/>
        <v>5.4257600000000004</v>
      </c>
      <c r="K30" s="639">
        <f t="shared" si="3"/>
        <v>6.7024000000000008</v>
      </c>
      <c r="L30" s="639">
        <f t="shared" si="4"/>
        <v>6.8350400000000011</v>
      </c>
      <c r="M30" s="639">
        <f t="shared" si="5"/>
        <v>6.8350400000000011</v>
      </c>
      <c r="N30" s="640">
        <f t="shared" si="6"/>
        <v>1.0367298718969375</v>
      </c>
      <c r="O30" s="639">
        <f t="shared" si="7"/>
        <v>1</v>
      </c>
      <c r="P30" s="641">
        <f t="shared" si="8"/>
        <v>1519.9911160561326</v>
      </c>
      <c r="Q30" s="641">
        <f t="shared" si="9"/>
        <v>528.40132872942513</v>
      </c>
      <c r="R30" s="639">
        <f t="shared" si="10"/>
        <v>6.4326091272017569</v>
      </c>
      <c r="S30" s="641">
        <f t="shared" si="11"/>
        <v>2584.1488026141633</v>
      </c>
      <c r="T30" s="643">
        <f t="shared" si="12"/>
        <v>18062.561095800374</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548">
        <f t="shared" si="13"/>
        <v>0</v>
      </c>
      <c r="I31" s="48">
        <f>IF(Weather_Site!M29&lt;180,Weather_Site!M29+180,Weather_Site!M29-180)</f>
        <v>30</v>
      </c>
      <c r="J31" s="639">
        <f t="shared" si="2"/>
        <v>5.49918</v>
      </c>
      <c r="K31" s="639">
        <f t="shared" si="3"/>
        <v>6.8532000000000002</v>
      </c>
      <c r="L31" s="639">
        <f t="shared" si="4"/>
        <v>7.0002200000000014</v>
      </c>
      <c r="M31" s="639">
        <f t="shared" si="5"/>
        <v>7.0002200000000014</v>
      </c>
      <c r="N31" s="640">
        <f t="shared" si="6"/>
        <v>1.0003719886699223</v>
      </c>
      <c r="O31" s="639">
        <f t="shared" si="7"/>
        <v>1</v>
      </c>
      <c r="P31" s="641">
        <f t="shared" si="8"/>
        <v>1510.5990298521394</v>
      </c>
      <c r="Q31" s="641">
        <f t="shared" si="9"/>
        <v>499.29410031847112</v>
      </c>
      <c r="R31" s="639">
        <f t="shared" si="10"/>
        <v>6.4038471346484318</v>
      </c>
      <c r="S31" s="641">
        <f t="shared" si="11"/>
        <v>2546.9330837573871</v>
      </c>
      <c r="T31" s="643">
        <f t="shared" si="12"/>
        <v>17950.951804742923</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548">
        <f t="shared" si="13"/>
        <v>0</v>
      </c>
      <c r="I32" s="48">
        <f>IF(Weather_Site!M30&lt;180,Weather_Site!M30+180,Weather_Site!M30-180)</f>
        <v>30</v>
      </c>
      <c r="J32" s="639">
        <f t="shared" si="2"/>
        <v>5.9340699999999993</v>
      </c>
      <c r="K32" s="639">
        <f t="shared" si="3"/>
        <v>7.4985999999999997</v>
      </c>
      <c r="L32" s="639">
        <f t="shared" si="4"/>
        <v>7.7444299999999995</v>
      </c>
      <c r="M32" s="639">
        <f t="shared" si="5"/>
        <v>7.7444299999999995</v>
      </c>
      <c r="N32" s="640">
        <f t="shared" si="6"/>
        <v>0.8601303200706869</v>
      </c>
      <c r="O32" s="639">
        <f t="shared" si="7"/>
        <v>1</v>
      </c>
      <c r="P32" s="641">
        <f t="shared" si="8"/>
        <v>1261.0714522634407</v>
      </c>
      <c r="Q32" s="641">
        <f t="shared" si="9"/>
        <v>392.57245802441395</v>
      </c>
      <c r="R32" s="639">
        <f t="shared" si="10"/>
        <v>5.6201885105531284</v>
      </c>
      <c r="S32" s="641">
        <f t="shared" si="11"/>
        <v>2098.5098838652375</v>
      </c>
      <c r="T32" s="643">
        <f t="shared" si="12"/>
        <v>14985.73242439722</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548">
        <f t="shared" si="13"/>
        <v>0</v>
      </c>
      <c r="I33" s="48">
        <f>IF(Weather_Site!M31&lt;180,Weather_Site!M31+180,Weather_Site!M31-180)</f>
        <v>25</v>
      </c>
      <c r="J33" s="639">
        <f t="shared" si="2"/>
        <v>6.2976100000000006</v>
      </c>
      <c r="K33" s="639">
        <f t="shared" si="3"/>
        <v>8.0370000000000008</v>
      </c>
      <c r="L33" s="639">
        <f t="shared" si="4"/>
        <v>8.3654899999999994</v>
      </c>
      <c r="M33" s="639">
        <f t="shared" si="5"/>
        <v>8.3654899999999994</v>
      </c>
      <c r="N33" s="640">
        <f t="shared" si="6"/>
        <v>0.76644126331691842</v>
      </c>
      <c r="O33" s="639">
        <f t="shared" si="7"/>
        <v>1</v>
      </c>
      <c r="P33" s="641">
        <f t="shared" si="8"/>
        <v>987.34461663706895</v>
      </c>
      <c r="Q33" s="641">
        <f t="shared" si="9"/>
        <v>308.11822511970138</v>
      </c>
      <c r="R33" s="639">
        <f t="shared" si="10"/>
        <v>4.7088732338264467</v>
      </c>
      <c r="S33" s="641">
        <f t="shared" si="11"/>
        <v>1603.9218652288646</v>
      </c>
      <c r="T33" s="643">
        <f t="shared" si="12"/>
        <v>11732.945194370503</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13"/>
        <v>0</v>
      </c>
      <c r="I34" s="27">
        <f>IF(Weather_Site!M32&lt;180,Weather_Site!M32+180,Weather_Site!M32-180)</f>
        <v>23</v>
      </c>
      <c r="J34" s="635">
        <f t="shared" si="2"/>
        <v>6.4241699999999993</v>
      </c>
      <c r="K34" s="635">
        <f t="shared" si="3"/>
        <v>8.2250999999999994</v>
      </c>
      <c r="L34" s="635">
        <f t="shared" si="4"/>
        <v>8.5823300000000007</v>
      </c>
      <c r="M34" s="635">
        <f t="shared" si="5"/>
        <v>8.5823300000000007</v>
      </c>
      <c r="N34" s="636">
        <f t="shared" si="6"/>
        <v>0.73767269674478597</v>
      </c>
      <c r="O34" s="635">
        <f t="shared" si="7"/>
        <v>1</v>
      </c>
      <c r="P34" s="637">
        <f t="shared" si="8"/>
        <v>781.70311526924627</v>
      </c>
      <c r="Q34" s="637">
        <f t="shared" si="9"/>
        <v>296.55292964867954</v>
      </c>
      <c r="R34" s="635">
        <f t="shared" si="10"/>
        <v>3.9772723960511729</v>
      </c>
      <c r="S34" s="637">
        <f t="shared" si="11"/>
        <v>1217.7326805395778</v>
      </c>
      <c r="T34" s="644">
        <f t="shared" si="12"/>
        <v>9289.238686449542</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13"/>
        <v>0</v>
      </c>
      <c r="I35" s="27">
        <f>IF(Weather_Site!M33&lt;180,Weather_Site!M33+180,Weather_Site!M33-180)</f>
        <v>20</v>
      </c>
      <c r="J35" s="635">
        <f t="shared" si="2"/>
        <v>6.7566099999999993</v>
      </c>
      <c r="K35" s="635">
        <f t="shared" si="3"/>
        <v>8.7016000000000009</v>
      </c>
      <c r="L35" s="635">
        <f t="shared" si="4"/>
        <v>9.1352899999999995</v>
      </c>
      <c r="M35" s="635">
        <f t="shared" si="5"/>
        <v>9.1352899999999995</v>
      </c>
      <c r="N35" s="636">
        <f t="shared" si="6"/>
        <v>0.67192933445660363</v>
      </c>
      <c r="O35" s="635">
        <f t="shared" si="7"/>
        <v>1</v>
      </c>
      <c r="P35" s="637">
        <f t="shared" si="8"/>
        <v>712.03564440346895</v>
      </c>
      <c r="Q35" s="637">
        <f t="shared" si="9"/>
        <v>247.76699634908533</v>
      </c>
      <c r="R35" s="635">
        <f t="shared" si="10"/>
        <v>3.7177042514211434</v>
      </c>
      <c r="S35" s="637">
        <f t="shared" si="11"/>
        <v>1040.1460079723997</v>
      </c>
      <c r="T35" s="644">
        <f t="shared" si="12"/>
        <v>8461.3569076612221</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13"/>
        <v>0</v>
      </c>
      <c r="I36" s="27">
        <f>IF(Weather_Site!M34&lt;180,Weather_Site!M34+180,Weather_Site!M34-180)</f>
        <v>17</v>
      </c>
      <c r="J36" s="635">
        <f t="shared" si="2"/>
        <v>7.1157199999999996</v>
      </c>
      <c r="K36" s="635">
        <f t="shared" si="3"/>
        <v>9.2164000000000019</v>
      </c>
      <c r="L36" s="635">
        <f t="shared" si="4"/>
        <v>9.7326800000000002</v>
      </c>
      <c r="M36" s="635">
        <f t="shared" si="5"/>
        <v>9.7326800000000002</v>
      </c>
      <c r="N36" s="636">
        <f t="shared" si="6"/>
        <v>0.61121779982099333</v>
      </c>
      <c r="O36" s="635">
        <f t="shared" si="7"/>
        <v>1</v>
      </c>
      <c r="P36" s="637">
        <f t="shared" si="8"/>
        <v>561.41942426994592</v>
      </c>
      <c r="Q36" s="637">
        <f t="shared" si="9"/>
        <v>204.7071304446111</v>
      </c>
      <c r="R36" s="635">
        <f t="shared" si="10"/>
        <v>3.1307680915129366</v>
      </c>
      <c r="S36" s="637">
        <f t="shared" si="11"/>
        <v>687.69596666468897</v>
      </c>
      <c r="T36" s="644">
        <f t="shared" si="12"/>
        <v>6671.5341584078578</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13"/>
        <v>0</v>
      </c>
      <c r="I37" s="27">
        <f>IF(Weather_Site!M35&lt;180,Weather_Site!M35+180,Weather_Site!M35-180)</f>
        <v>13</v>
      </c>
      <c r="J37" s="635">
        <f t="shared" si="2"/>
        <v>7.5932199999999996</v>
      </c>
      <c r="K37" s="635">
        <f t="shared" si="3"/>
        <v>9.8867000000000012</v>
      </c>
      <c r="L37" s="635">
        <f t="shared" si="4"/>
        <v>10.513580000000001</v>
      </c>
      <c r="M37" s="635">
        <f t="shared" si="5"/>
        <v>10.513580000000001</v>
      </c>
      <c r="N37" s="636">
        <f t="shared" si="6"/>
        <v>0.54461088259849155</v>
      </c>
      <c r="O37" s="635">
        <f t="shared" si="7"/>
        <v>1</v>
      </c>
      <c r="P37" s="637">
        <f t="shared" si="8"/>
        <v>421.27293286136518</v>
      </c>
      <c r="Q37" s="637">
        <f t="shared" si="9"/>
        <v>163.63365390439142</v>
      </c>
      <c r="R37" s="635">
        <f t="shared" si="10"/>
        <v>2.5437564917422986</v>
      </c>
      <c r="S37" s="637">
        <f t="shared" si="11"/>
        <v>324.8668191820534</v>
      </c>
      <c r="T37" s="644">
        <f t="shared" si="12"/>
        <v>5006.126685502556</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13"/>
        <v>0</v>
      </c>
      <c r="I38" s="27">
        <f>IF(Weather_Site!M36&lt;180,Weather_Site!M36+180,Weather_Site!M36-180)</f>
        <v>10</v>
      </c>
      <c r="J38" s="635">
        <f t="shared" si="2"/>
        <v>8.0316500000000008</v>
      </c>
      <c r="K38" s="635">
        <f t="shared" si="3"/>
        <v>10.501800000000001</v>
      </c>
      <c r="L38" s="635">
        <f t="shared" si="4"/>
        <v>11.230250000000002</v>
      </c>
      <c r="M38" s="635">
        <f t="shared" si="5"/>
        <v>11.230250000000002</v>
      </c>
      <c r="N38" s="636">
        <f t="shared" si="6"/>
        <v>0.49348199109285007</v>
      </c>
      <c r="O38" s="635">
        <f t="shared" si="7"/>
        <v>1</v>
      </c>
      <c r="P38" s="637">
        <f t="shared" si="8"/>
        <v>307.76322102084242</v>
      </c>
      <c r="Q38" s="637">
        <f t="shared" si="9"/>
        <v>148.27147954380789</v>
      </c>
      <c r="R38" s="635">
        <f t="shared" si="10"/>
        <v>2.0272008110593833</v>
      </c>
      <c r="S38" s="637">
        <f t="shared" si="11"/>
        <v>50</v>
      </c>
      <c r="T38" s="644">
        <f t="shared" si="12"/>
        <v>3657.2529431310104</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548">
        <f t="shared" si="13"/>
        <v>0</v>
      </c>
      <c r="I39" s="48">
        <f>IF(Weather_Site!M37&lt;180,Weather_Site!M37+180,Weather_Site!M37-180)</f>
        <v>9</v>
      </c>
      <c r="J39" s="639">
        <f t="shared" si="2"/>
        <v>8.4967499999999987</v>
      </c>
      <c r="K39" s="639">
        <f t="shared" si="3"/>
        <v>11.155200000000001</v>
      </c>
      <c r="L39" s="639">
        <f t="shared" si="4"/>
        <v>11.991350000000001</v>
      </c>
      <c r="M39" s="639">
        <f t="shared" si="5"/>
        <v>11.991350000000001</v>
      </c>
      <c r="N39" s="640">
        <f t="shared" si="6"/>
        <v>0.44739973166190306</v>
      </c>
      <c r="O39" s="639">
        <f t="shared" si="7"/>
        <v>1</v>
      </c>
      <c r="P39" s="641">
        <f t="shared" si="8"/>
        <v>279.02372322685324</v>
      </c>
      <c r="Q39" s="641">
        <f t="shared" si="9"/>
        <v>129.2157709092395</v>
      </c>
      <c r="R39" s="639">
        <f t="shared" si="10"/>
        <v>1.8884896996216776</v>
      </c>
      <c r="S39" s="641">
        <f t="shared" si="11"/>
        <v>73.341755944526085</v>
      </c>
      <c r="T39" s="643">
        <f t="shared" si="12"/>
        <v>3315.7319110124395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548">
        <f t="shared" si="13"/>
        <v>0</v>
      </c>
      <c r="I40" s="48">
        <f>IF(Weather_Site!M38&lt;180,Weather_Site!M38+180,Weather_Site!M38-180)</f>
        <v>5</v>
      </c>
      <c r="J40" s="639">
        <f t="shared" si="2"/>
        <v>9.1106499999999997</v>
      </c>
      <c r="K40" s="639">
        <f t="shared" si="3"/>
        <v>12.0114</v>
      </c>
      <c r="L40" s="639">
        <f t="shared" si="4"/>
        <v>12.990050000000002</v>
      </c>
      <c r="M40" s="639">
        <f t="shared" si="5"/>
        <v>12.0114</v>
      </c>
      <c r="N40" s="640">
        <f t="shared" si="6"/>
        <v>0.44628369580673416</v>
      </c>
      <c r="O40" s="639">
        <f t="shared" si="7"/>
        <v>1</v>
      </c>
      <c r="P40" s="641">
        <f t="shared" si="8"/>
        <v>255.42802716376667</v>
      </c>
      <c r="Q40" s="641">
        <f t="shared" si="9"/>
        <v>139.25035606127489</v>
      </c>
      <c r="R40" s="639">
        <f t="shared" si="10"/>
        <v>1.7716227342504098</v>
      </c>
      <c r="S40" s="641">
        <f t="shared" si="11"/>
        <v>130.41008173712316</v>
      </c>
      <c r="T40" s="643">
        <f t="shared" si="12"/>
        <v>3035.3363894627605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548">
        <f t="shared" si="13"/>
        <v>0</v>
      </c>
      <c r="I41" s="48">
        <f>IF(Weather_Site!M39&lt;180,Weather_Site!M39+180,Weather_Site!M39-180)</f>
        <v>1</v>
      </c>
      <c r="J41" s="639">
        <f t="shared" si="2"/>
        <v>8.7590199999999996</v>
      </c>
      <c r="K41" s="639">
        <f t="shared" si="3"/>
        <v>11.5146</v>
      </c>
      <c r="L41" s="639">
        <f t="shared" si="4"/>
        <v>12.41198</v>
      </c>
      <c r="M41" s="639">
        <f t="shared" si="5"/>
        <v>11.5146</v>
      </c>
      <c r="N41" s="640">
        <f t="shared" si="6"/>
        <v>0.47537513118845975</v>
      </c>
      <c r="O41" s="639">
        <f t="shared" si="7"/>
        <v>1</v>
      </c>
      <c r="P41" s="641">
        <f t="shared" si="8"/>
        <v>320.51863504451705</v>
      </c>
      <c r="Q41" s="641">
        <f t="shared" si="9"/>
        <v>175.28966567424658</v>
      </c>
      <c r="R41" s="639">
        <f t="shared" si="10"/>
        <v>2.0876034624917423</v>
      </c>
      <c r="S41" s="641">
        <f t="shared" si="11"/>
        <v>50</v>
      </c>
      <c r="T41" s="643">
        <f t="shared" si="12"/>
        <v>3808.829779779011</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548">
        <f t="shared" si="13"/>
        <v>0</v>
      </c>
      <c r="I42" s="48">
        <f>IF(Weather_Site!M40&lt;180,Weather_Site!M40+180,Weather_Site!M40-180)</f>
        <v>358</v>
      </c>
      <c r="J42" s="639">
        <f t="shared" si="2"/>
        <v>7.9329400000000003</v>
      </c>
      <c r="K42" s="639">
        <f t="shared" si="3"/>
        <v>10.341900000000001</v>
      </c>
      <c r="L42" s="639">
        <f t="shared" si="4"/>
        <v>11.048660000000002</v>
      </c>
      <c r="M42" s="639">
        <f t="shared" si="5"/>
        <v>10.341900000000001</v>
      </c>
      <c r="N42" s="640">
        <f t="shared" si="6"/>
        <v>0.55818221954195157</v>
      </c>
      <c r="O42" s="639">
        <f t="shared" si="7"/>
        <v>1</v>
      </c>
      <c r="P42" s="641">
        <f t="shared" si="8"/>
        <v>512.7048662927366</v>
      </c>
      <c r="Q42" s="641">
        <f t="shared" si="9"/>
        <v>161.21141945710579</v>
      </c>
      <c r="R42" s="639">
        <f t="shared" si="10"/>
        <v>2.9319073519999148</v>
      </c>
      <c r="S42" s="641">
        <f t="shared" si="11"/>
        <v>546.82676763445079</v>
      </c>
      <c r="T42" s="643">
        <f t="shared" si="12"/>
        <v>6092.6428277786872</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548">
        <f t="shared" si="13"/>
        <v>0</v>
      </c>
      <c r="I43" s="48">
        <f>IF(Weather_Site!M41&lt;180,Weather_Site!M41+180,Weather_Site!M41-180)</f>
        <v>357</v>
      </c>
      <c r="J43" s="639">
        <f t="shared" si="2"/>
        <v>7.3754299999999997</v>
      </c>
      <c r="K43" s="639">
        <f t="shared" si="3"/>
        <v>9.5566999999999993</v>
      </c>
      <c r="L43" s="639">
        <f t="shared" si="4"/>
        <v>10.13447</v>
      </c>
      <c r="M43" s="639">
        <f t="shared" si="5"/>
        <v>9.5566999999999993</v>
      </c>
      <c r="N43" s="640">
        <f t="shared" si="6"/>
        <v>0.62812070279937537</v>
      </c>
      <c r="O43" s="639">
        <f t="shared" si="7"/>
        <v>1</v>
      </c>
      <c r="P43" s="641">
        <f t="shared" si="8"/>
        <v>359.50144144688272</v>
      </c>
      <c r="Q43" s="641">
        <f t="shared" si="9"/>
        <v>210.36819719676006</v>
      </c>
      <c r="R43" s="639">
        <f t="shared" si="10"/>
        <v>2.2682328903709852</v>
      </c>
      <c r="S43" s="641">
        <f t="shared" si="11"/>
        <v>204.72362246286684</v>
      </c>
      <c r="T43" s="643">
        <f t="shared" si="12"/>
        <v>4272.0754625271229</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13"/>
        <v>0</v>
      </c>
      <c r="I44" s="27">
        <f>IF(Weather_Site!M42&lt;180,Weather_Site!M42+180,Weather_Site!M42-180)</f>
        <v>356</v>
      </c>
      <c r="J44" s="635">
        <f t="shared" si="2"/>
        <v>6.5711000000000004</v>
      </c>
      <c r="K44" s="635">
        <f t="shared" si="3"/>
        <v>8.4234000000000009</v>
      </c>
      <c r="L44" s="635">
        <f t="shared" si="4"/>
        <v>8.815100000000001</v>
      </c>
      <c r="M44" s="635">
        <f t="shared" si="5"/>
        <v>8.4234000000000009</v>
      </c>
      <c r="N44" s="636">
        <f t="shared" si="6"/>
        <v>0.75857722257334537</v>
      </c>
      <c r="O44" s="635">
        <f t="shared" si="7"/>
        <v>1</v>
      </c>
      <c r="P44" s="637">
        <f t="shared" si="8"/>
        <v>586.78234601290524</v>
      </c>
      <c r="Q44" s="637">
        <f t="shared" si="9"/>
        <v>236.69282417401141</v>
      </c>
      <c r="R44" s="635">
        <f t="shared" si="10"/>
        <v>3.2323991436962562</v>
      </c>
      <c r="S44" s="637">
        <f t="shared" si="11"/>
        <v>824.49329072914588</v>
      </c>
      <c r="T44" s="644">
        <f t="shared" si="12"/>
        <v>6972.9302117866901</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13"/>
        <v>0</v>
      </c>
      <c r="I45" s="27">
        <f>IF(Weather_Site!M43&lt;180,Weather_Site!M43+180,Weather_Site!M43-180)</f>
        <v>346</v>
      </c>
      <c r="J45" s="635">
        <f t="shared" si="2"/>
        <v>6.084249999999999</v>
      </c>
      <c r="K45" s="635">
        <f t="shared" si="3"/>
        <v>7.7305999999999999</v>
      </c>
      <c r="L45" s="635">
        <f t="shared" si="4"/>
        <v>8.0100499999999997</v>
      </c>
      <c r="M45" s="635">
        <f t="shared" si="5"/>
        <v>7.7305999999999999</v>
      </c>
      <c r="N45" s="636">
        <f t="shared" si="6"/>
        <v>0.86243179698138672</v>
      </c>
      <c r="O45" s="635">
        <f t="shared" si="7"/>
        <v>1</v>
      </c>
      <c r="P45" s="637">
        <f t="shared" si="8"/>
        <v>581.48911091833452</v>
      </c>
      <c r="Q45" s="637">
        <f t="shared" si="9"/>
        <v>259.12604887742555</v>
      </c>
      <c r="R45" s="635">
        <f t="shared" si="10"/>
        <v>3.2112909157497604</v>
      </c>
      <c r="S45" s="637">
        <f t="shared" si="11"/>
        <v>859.43734420170813</v>
      </c>
      <c r="T45" s="644">
        <f t="shared" si="12"/>
        <v>6910.0289347462094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13"/>
        <v>0</v>
      </c>
      <c r="I46" s="27">
        <f>IF(Weather_Site!M44&lt;180,Weather_Site!M44+180,Weather_Site!M44-180)</f>
        <v>349</v>
      </c>
      <c r="J46" s="635">
        <f t="shared" si="2"/>
        <v>5.5297899999999993</v>
      </c>
      <c r="K46" s="635">
        <f t="shared" si="3"/>
        <v>6.9398000000000009</v>
      </c>
      <c r="L46" s="635">
        <f t="shared" si="4"/>
        <v>7.0915100000000013</v>
      </c>
      <c r="M46" s="635">
        <f t="shared" si="5"/>
        <v>6.9398000000000009</v>
      </c>
      <c r="N46" s="636">
        <f t="shared" si="6"/>
        <v>1.0134207693817823</v>
      </c>
      <c r="O46" s="635">
        <f t="shared" si="7"/>
        <v>1</v>
      </c>
      <c r="P46" s="637">
        <f t="shared" si="8"/>
        <v>632.02638771811621</v>
      </c>
      <c r="Q46" s="637">
        <f t="shared" si="9"/>
        <v>292.69115894342912</v>
      </c>
      <c r="R46" s="635">
        <f t="shared" si="10"/>
        <v>3.4107323563087255</v>
      </c>
      <c r="S46" s="637">
        <f t="shared" si="11"/>
        <v>1037.0164530695697</v>
      </c>
      <c r="T46" s="644">
        <f t="shared" si="12"/>
        <v>7510.5802407169467</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13"/>
        <v>0</v>
      </c>
      <c r="I47" s="27">
        <f>IF(Weather_Site!M45&lt;180,Weather_Site!M45+180,Weather_Site!M45-180)</f>
        <v>5</v>
      </c>
      <c r="J47" s="635">
        <f t="shared" si="2"/>
        <v>5.0639999999999992</v>
      </c>
      <c r="K47" s="635">
        <f t="shared" si="3"/>
        <v>6.2718000000000007</v>
      </c>
      <c r="L47" s="635">
        <f t="shared" si="4"/>
        <v>6.3163999999999998</v>
      </c>
      <c r="M47" s="635">
        <f t="shared" si="5"/>
        <v>5.0639999999999992</v>
      </c>
      <c r="N47" s="636">
        <f t="shared" si="6"/>
        <v>1.6232500341984304</v>
      </c>
      <c r="O47" s="635">
        <f t="shared" si="7"/>
        <v>1</v>
      </c>
      <c r="P47" s="637">
        <f t="shared" si="8"/>
        <v>929.05825985714944</v>
      </c>
      <c r="Q47" s="637">
        <f t="shared" si="9"/>
        <v>449.77486195948319</v>
      </c>
      <c r="R47" s="635">
        <f t="shared" si="10"/>
        <v>4.5062069777421732</v>
      </c>
      <c r="S47" s="637">
        <f t="shared" si="11"/>
        <v>1878.8896979076717</v>
      </c>
      <c r="T47" s="644">
        <f t="shared" si="12"/>
        <v>11040.308987969129</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13"/>
        <v>0</v>
      </c>
      <c r="I48" s="27">
        <f>IF(Weather_Site!M46&lt;180,Weather_Site!M46+180,Weather_Site!M46-180)</f>
        <v>19</v>
      </c>
      <c r="J48" s="635">
        <f t="shared" si="2"/>
        <v>4.6049999999999995</v>
      </c>
      <c r="K48" s="635">
        <f t="shared" si="3"/>
        <v>5.6072000000000006</v>
      </c>
      <c r="L48" s="635">
        <f t="shared" si="4"/>
        <v>5.5466000000000006</v>
      </c>
      <c r="M48" s="635">
        <f t="shared" si="5"/>
        <v>4.6049999999999995</v>
      </c>
      <c r="N48" s="636">
        <f t="shared" si="6"/>
        <v>1.8710060598207361</v>
      </c>
      <c r="O48" s="635">
        <f t="shared" si="7"/>
        <v>1</v>
      </c>
      <c r="P48" s="637">
        <f t="shared" si="8"/>
        <v>973.32498470738938</v>
      </c>
      <c r="Q48" s="637">
        <f t="shared" si="9"/>
        <v>473.9885055829252</v>
      </c>
      <c r="R48" s="635">
        <f t="shared" si="10"/>
        <v>4.6604357485653614</v>
      </c>
      <c r="S48" s="637">
        <f t="shared" si="11"/>
        <v>2034.4797667546154</v>
      </c>
      <c r="T48" s="644">
        <f t="shared" si="12"/>
        <v>11566.345234939476</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548">
        <f t="shared" si="13"/>
        <v>0</v>
      </c>
      <c r="I49" s="48">
        <f>IF(Weather_Site!M47&lt;180,Weather_Site!M47+180,Weather_Site!M47-180)</f>
        <v>24</v>
      </c>
      <c r="J49" s="639">
        <f t="shared" si="2"/>
        <v>4.3041500000000008</v>
      </c>
      <c r="K49" s="639">
        <f t="shared" si="3"/>
        <v>5.1679000000000004</v>
      </c>
      <c r="L49" s="639">
        <f t="shared" si="4"/>
        <v>5.0385500000000008</v>
      </c>
      <c r="M49" s="639">
        <f t="shared" si="5"/>
        <v>4.3041500000000008</v>
      </c>
      <c r="N49" s="640">
        <f t="shared" si="6"/>
        <v>2.0698641256716539</v>
      </c>
      <c r="O49" s="639">
        <f t="shared" si="7"/>
        <v>1</v>
      </c>
      <c r="P49" s="641">
        <f t="shared" si="8"/>
        <v>854.83596085422573</v>
      </c>
      <c r="Q49" s="641">
        <f t="shared" si="9"/>
        <v>549.0476734470509</v>
      </c>
      <c r="R49" s="639">
        <f t="shared" si="10"/>
        <v>4.2429443561243501</v>
      </c>
      <c r="S49" s="641">
        <f t="shared" si="11"/>
        <v>1825.3096236505999</v>
      </c>
      <c r="T49" s="643">
        <f t="shared" si="12"/>
        <v>10158.300668151049</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548">
        <f t="shared" si="13"/>
        <v>0</v>
      </c>
      <c r="I50" s="48">
        <f>IF(Weather_Site!M48&lt;180,Weather_Site!M48+180,Weather_Site!M48-180)</f>
        <v>29</v>
      </c>
      <c r="J50" s="639">
        <f t="shared" si="2"/>
        <v>4.2110500000000002</v>
      </c>
      <c r="K50" s="639">
        <f t="shared" si="3"/>
        <v>5.0215000000000005</v>
      </c>
      <c r="L50" s="639">
        <f t="shared" si="4"/>
        <v>4.8714500000000003</v>
      </c>
      <c r="M50" s="639">
        <f t="shared" si="5"/>
        <v>4.2110500000000002</v>
      </c>
      <c r="N50" s="640">
        <f t="shared" si="6"/>
        <v>2.1386506724307099</v>
      </c>
      <c r="O50" s="639">
        <f t="shared" si="7"/>
        <v>1</v>
      </c>
      <c r="P50" s="641">
        <f t="shared" si="8"/>
        <v>999.06811690923723</v>
      </c>
      <c r="Q50" s="641">
        <f t="shared" si="9"/>
        <v>541.79185089677048</v>
      </c>
      <c r="R50" s="639">
        <f t="shared" si="10"/>
        <v>4.7492315121136768</v>
      </c>
      <c r="S50" s="641">
        <f t="shared" si="11"/>
        <v>2148.2018489015836</v>
      </c>
      <c r="T50" s="643">
        <f t="shared" si="12"/>
        <v>11872.259455938105</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548">
        <f t="shared" si="13"/>
        <v>0</v>
      </c>
      <c r="I51" s="48">
        <f>IF(Weather_Site!M49&lt;180,Weather_Site!M49+180,Weather_Site!M49-180)</f>
        <v>32</v>
      </c>
      <c r="J51" s="639">
        <f t="shared" si="2"/>
        <v>4.1111599999999999</v>
      </c>
      <c r="K51" s="639">
        <f t="shared" si="3"/>
        <v>4.8717000000000006</v>
      </c>
      <c r="L51" s="639">
        <f t="shared" si="4"/>
        <v>4.699040000000001</v>
      </c>
      <c r="M51" s="639">
        <f t="shared" si="5"/>
        <v>4.1111599999999999</v>
      </c>
      <c r="N51" s="640">
        <f t="shared" si="6"/>
        <v>2.2168012152238665</v>
      </c>
      <c r="O51" s="639">
        <f t="shared" si="7"/>
        <v>1</v>
      </c>
      <c r="P51" s="641">
        <f t="shared" si="8"/>
        <v>915.51970650430826</v>
      </c>
      <c r="Q51" s="641">
        <f t="shared" si="9"/>
        <v>561.59000109227111</v>
      </c>
      <c r="R51" s="639">
        <f t="shared" si="10"/>
        <v>4.4586340525599155</v>
      </c>
      <c r="S51" s="641">
        <f t="shared" si="11"/>
        <v>1987.3503834004741</v>
      </c>
      <c r="T51" s="643">
        <f t="shared" si="12"/>
        <v>10879.425845626196</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548">
        <f t="shared" ref="H52:H83" si="14">C$4</f>
        <v>0</v>
      </c>
      <c r="I52" s="48">
        <f>IF(Weather_Site!M50&lt;180,Weather_Site!M50+180,Weather_Site!M50-180)</f>
        <v>31</v>
      </c>
      <c r="J52" s="639">
        <f t="shared" si="2"/>
        <v>4.18743</v>
      </c>
      <c r="K52" s="639">
        <f t="shared" si="3"/>
        <v>4.9776000000000007</v>
      </c>
      <c r="L52" s="639">
        <f t="shared" si="4"/>
        <v>4.8226700000000005</v>
      </c>
      <c r="M52" s="639">
        <f t="shared" si="5"/>
        <v>4.9776000000000007</v>
      </c>
      <c r="N52" s="640">
        <f t="shared" si="6"/>
        <v>1.6655535752588193</v>
      </c>
      <c r="O52" s="639">
        <f t="shared" si="7"/>
        <v>1</v>
      </c>
      <c r="P52" s="641">
        <f t="shared" si="8"/>
        <v>687.8592044772796</v>
      </c>
      <c r="Q52" s="641">
        <f t="shared" si="9"/>
        <v>401.90271440526902</v>
      </c>
      <c r="R52" s="639">
        <f t="shared" si="10"/>
        <v>3.6260038478940939</v>
      </c>
      <c r="S52" s="641">
        <f t="shared" si="11"/>
        <v>1352.0203346433364</v>
      </c>
      <c r="T52" s="643">
        <f t="shared" si="12"/>
        <v>8174.0602132050062</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548">
        <f t="shared" si="14"/>
        <v>0</v>
      </c>
      <c r="I53" s="48">
        <f>IF(Weather_Site!M51&lt;180,Weather_Site!M51+180,Weather_Site!M51-180)</f>
        <v>28</v>
      </c>
      <c r="J53" s="639">
        <f t="shared" si="2"/>
        <v>4.2246299999999994</v>
      </c>
      <c r="K53" s="639">
        <f t="shared" si="3"/>
        <v>5.0282999999999998</v>
      </c>
      <c r="L53" s="639">
        <f t="shared" si="4"/>
        <v>4.8820700000000006</v>
      </c>
      <c r="M53" s="639">
        <f t="shared" si="5"/>
        <v>5.0282999999999998</v>
      </c>
      <c r="N53" s="640">
        <f t="shared" si="6"/>
        <v>1.640509812580415</v>
      </c>
      <c r="O53" s="639">
        <f t="shared" si="7"/>
        <v>1</v>
      </c>
      <c r="P53" s="641">
        <f t="shared" si="8"/>
        <v>586.53191968782369</v>
      </c>
      <c r="Q53" s="641">
        <f t="shared" si="9"/>
        <v>355.80752649100094</v>
      </c>
      <c r="R53" s="639">
        <f t="shared" si="10"/>
        <v>3.2314016919472417</v>
      </c>
      <c r="S53" s="641">
        <f t="shared" si="11"/>
        <v>1086.6156868315329</v>
      </c>
      <c r="T53" s="643">
        <f t="shared" si="12"/>
        <v>6969.9543122903033</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14"/>
        <v>0</v>
      </c>
      <c r="I54" s="27">
        <f>IF(Weather_Site!M52&lt;180,Weather_Site!M52+180,Weather_Site!M52-180)</f>
        <v>22</v>
      </c>
      <c r="J54" s="635">
        <f t="shared" si="2"/>
        <v>4.4255899999999997</v>
      </c>
      <c r="K54" s="635">
        <f t="shared" si="3"/>
        <v>5.3178000000000001</v>
      </c>
      <c r="L54" s="635">
        <f t="shared" si="4"/>
        <v>5.2177100000000003</v>
      </c>
      <c r="M54" s="635">
        <f t="shared" si="5"/>
        <v>5.2177100000000003</v>
      </c>
      <c r="N54" s="636">
        <f t="shared" si="6"/>
        <v>1.5522833219039549</v>
      </c>
      <c r="O54" s="635">
        <f t="shared" si="7"/>
        <v>1</v>
      </c>
      <c r="P54" s="637">
        <f t="shared" si="8"/>
        <v>374.57028694035341</v>
      </c>
      <c r="Q54" s="637">
        <f t="shared" si="9"/>
        <v>297.93351544804796</v>
      </c>
      <c r="R54" s="635">
        <f t="shared" si="10"/>
        <v>2.336580116974627</v>
      </c>
      <c r="S54" s="637">
        <f t="shared" si="11"/>
        <v>441.0374950472542</v>
      </c>
      <c r="T54" s="644">
        <f t="shared" si="12"/>
        <v>4451.1435764745329</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14"/>
        <v>0</v>
      </c>
      <c r="I55" s="27">
        <f>IF(Weather_Site!M53&lt;180,Weather_Site!M53+180,Weather_Site!M53-180)</f>
        <v>27</v>
      </c>
      <c r="J55" s="635">
        <f t="shared" si="2"/>
        <v>5.5338199999999986</v>
      </c>
      <c r="K55" s="635">
        <f t="shared" si="3"/>
        <v>6.8848000000000011</v>
      </c>
      <c r="L55" s="635">
        <f t="shared" si="4"/>
        <v>7.0407799999999998</v>
      </c>
      <c r="M55" s="635">
        <f t="shared" si="5"/>
        <v>7.0407799999999998</v>
      </c>
      <c r="N55" s="636">
        <f t="shared" si="6"/>
        <v>0.99176879628763293</v>
      </c>
      <c r="O55" s="635">
        <f t="shared" si="7"/>
        <v>1</v>
      </c>
      <c r="P55" s="637">
        <f t="shared" si="8"/>
        <v>111.40107731245175</v>
      </c>
      <c r="Q55" s="637">
        <f t="shared" si="9"/>
        <v>190.35259853673531</v>
      </c>
      <c r="R55" s="635">
        <f t="shared" si="10"/>
        <v>0.97233767417758277</v>
      </c>
      <c r="S55" s="637">
        <f t="shared" si="11"/>
        <v>279.40699549293186</v>
      </c>
      <c r="T55" s="644">
        <f t="shared" si="12"/>
        <v>1323.8161353963017</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14"/>
        <v>0</v>
      </c>
      <c r="I56" s="27">
        <f>IF(Weather_Site!M54&lt;180,Weather_Site!M54+180,Weather_Site!M54-180)</f>
        <v>17</v>
      </c>
      <c r="J56" s="635">
        <f t="shared" si="2"/>
        <v>6.1528400000000003</v>
      </c>
      <c r="K56" s="635">
        <f t="shared" si="3"/>
        <v>7.7792000000000012</v>
      </c>
      <c r="L56" s="635">
        <f t="shared" si="4"/>
        <v>8.0771599999999992</v>
      </c>
      <c r="M56" s="635">
        <f t="shared" si="5"/>
        <v>8.0771599999999992</v>
      </c>
      <c r="N56" s="636">
        <f t="shared" si="6"/>
        <v>0.80770312344345463</v>
      </c>
      <c r="O56" s="635">
        <f t="shared" si="7"/>
        <v>1</v>
      </c>
      <c r="P56" s="637">
        <f t="shared" si="8"/>
        <v>90.725780481338433</v>
      </c>
      <c r="Q56" s="637">
        <f t="shared" si="9"/>
        <v>144.75430115118584</v>
      </c>
      <c r="R56" s="635">
        <f t="shared" si="10"/>
        <v>0.83821492449081347</v>
      </c>
      <c r="S56" s="637">
        <f t="shared" si="11"/>
        <v>147.30440238849769</v>
      </c>
      <c r="T56" s="644">
        <f t="shared" si="12"/>
        <v>1078.1246913865716</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14"/>
        <v>0</v>
      </c>
      <c r="I57" s="27">
        <f>IF(Weather_Site!M55&lt;180,Weather_Site!M55+180,Weather_Site!M55-180)</f>
        <v>8</v>
      </c>
      <c r="J57" s="635">
        <f t="shared" si="2"/>
        <v>6.696769999999999</v>
      </c>
      <c r="K57" s="635">
        <f t="shared" si="3"/>
        <v>8.5576000000000008</v>
      </c>
      <c r="L57" s="635">
        <f t="shared" si="4"/>
        <v>8.9807299999999994</v>
      </c>
      <c r="M57" s="635">
        <f t="shared" si="5"/>
        <v>8.9807299999999994</v>
      </c>
      <c r="N57" s="636">
        <f t="shared" si="6"/>
        <v>0.68929098132876376</v>
      </c>
      <c r="O57" s="635">
        <f t="shared" si="7"/>
        <v>1</v>
      </c>
      <c r="P57" s="637">
        <f t="shared" si="8"/>
        <v>20.678729439862913</v>
      </c>
      <c r="Q57" s="637">
        <f t="shared" si="9"/>
        <v>123.53280728528158</v>
      </c>
      <c r="R57" s="635">
        <f t="shared" si="10"/>
        <v>0.28776623053048178</v>
      </c>
      <c r="S57" s="637">
        <f t="shared" si="11"/>
        <v>7975.8070163064422</v>
      </c>
      <c r="T57" s="644">
        <f t="shared" si="12"/>
        <v>245.73223484370433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14"/>
        <v>0</v>
      </c>
      <c r="I58" s="27">
        <f>IF(Weather_Site!M56&lt;180,Weather_Site!M56+180,Weather_Site!M56-180)</f>
        <v>10</v>
      </c>
      <c r="J58" s="635">
        <f t="shared" si="2"/>
        <v>7.1494699999999991</v>
      </c>
      <c r="K58" s="635">
        <f t="shared" si="3"/>
        <v>9.1941000000000006</v>
      </c>
      <c r="L58" s="635">
        <f t="shared" si="4"/>
        <v>9.7220300000000002</v>
      </c>
      <c r="M58" s="635">
        <f t="shared" si="5"/>
        <v>9.7220300000000002</v>
      </c>
      <c r="N58" s="636">
        <f t="shared" si="6"/>
        <v>0.61221906138910953</v>
      </c>
      <c r="O58" s="635">
        <f t="shared" si="7"/>
        <v>1</v>
      </c>
      <c r="P58" s="637">
        <f t="shared" si="8"/>
        <v>18.366571841673284</v>
      </c>
      <c r="Q58" s="637">
        <f t="shared" si="9"/>
        <v>117.50469428495698</v>
      </c>
      <c r="R58" s="635">
        <f t="shared" si="10"/>
        <v>0.26412432576229822</v>
      </c>
      <c r="S58" s="637">
        <f t="shared" si="11"/>
        <v>9907.9504732888599</v>
      </c>
      <c r="T58" s="644">
        <f t="shared" si="12"/>
        <v>218.25609538521752</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548">
        <f t="shared" si="14"/>
        <v>0</v>
      </c>
      <c r="I59" s="48">
        <f>IF(Weather_Site!M57&lt;180,Weather_Site!M57+180,Weather_Site!M57-180)</f>
        <v>87</v>
      </c>
      <c r="J59" s="639">
        <f t="shared" si="2"/>
        <v>7.6840499999999992</v>
      </c>
      <c r="K59" s="639">
        <f t="shared" si="3"/>
        <v>9.9500000000000011</v>
      </c>
      <c r="L59" s="639">
        <f t="shared" si="4"/>
        <v>10.601450000000002</v>
      </c>
      <c r="M59" s="639">
        <f t="shared" si="5"/>
        <v>10.601450000000002</v>
      </c>
      <c r="N59" s="640">
        <f t="shared" si="6"/>
        <v>0.53787631388713553</v>
      </c>
      <c r="O59" s="639">
        <f t="shared" si="7"/>
        <v>1</v>
      </c>
      <c r="P59" s="641">
        <f t="shared" si="8"/>
        <v>60.417307997759728</v>
      </c>
      <c r="Q59" s="641">
        <f t="shared" si="9"/>
        <v>103.23590984413558</v>
      </c>
      <c r="R59" s="639">
        <f t="shared" si="10"/>
        <v>0.62473488095873897</v>
      </c>
      <c r="S59" s="641">
        <f t="shared" si="11"/>
        <v>538.55284668811146</v>
      </c>
      <c r="T59" s="643">
        <f t="shared" si="12"/>
        <v>717.95901004004486</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548">
        <f t="shared" si="14"/>
        <v>0</v>
      </c>
      <c r="I60" s="48">
        <f>IF(Weather_Site!M58&lt;180,Weather_Site!M58+180,Weather_Site!M58-180)</f>
        <v>65</v>
      </c>
      <c r="J60" s="639">
        <f t="shared" si="2"/>
        <v>8.3159599999999987</v>
      </c>
      <c r="K60" s="639">
        <f t="shared" si="3"/>
        <v>10.836600000000001</v>
      </c>
      <c r="L60" s="639">
        <f t="shared" si="4"/>
        <v>11.63444</v>
      </c>
      <c r="M60" s="639">
        <f t="shared" si="5"/>
        <v>11.63444</v>
      </c>
      <c r="N60" s="640">
        <f t="shared" si="6"/>
        <v>0.46807344023543079</v>
      </c>
      <c r="O60" s="639">
        <f t="shared" si="7"/>
        <v>1</v>
      </c>
      <c r="P60" s="641">
        <f t="shared" si="8"/>
        <v>52.576654658582051</v>
      </c>
      <c r="Q60" s="641">
        <f t="shared" si="9"/>
        <v>89.838474439160549</v>
      </c>
      <c r="R60" s="639">
        <f t="shared" si="10"/>
        <v>0.56500122075221171</v>
      </c>
      <c r="S60" s="641">
        <f t="shared" si="11"/>
        <v>951.8071135240798</v>
      </c>
      <c r="T60" s="643">
        <f t="shared" si="12"/>
        <v>624.78591285948335</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548">
        <f t="shared" si="14"/>
        <v>0</v>
      </c>
      <c r="I61" s="48">
        <f>IF(Weather_Site!M59&lt;180,Weather_Site!M59+180,Weather_Site!M59-180)</f>
        <v>46</v>
      </c>
      <c r="J61" s="639">
        <f t="shared" si="2"/>
        <v>8.6799900000000001</v>
      </c>
      <c r="K61" s="639">
        <f t="shared" si="3"/>
        <v>11.350300000000001</v>
      </c>
      <c r="L61" s="639">
        <f t="shared" si="4"/>
        <v>12.23231</v>
      </c>
      <c r="M61" s="639">
        <f t="shared" si="5"/>
        <v>12.23231</v>
      </c>
      <c r="N61" s="640">
        <f t="shared" si="6"/>
        <v>0.43428849264072072</v>
      </c>
      <c r="O61" s="639">
        <f t="shared" si="7"/>
        <v>1</v>
      </c>
      <c r="P61" s="641">
        <f t="shared" si="8"/>
        <v>48.781738370548439</v>
      </c>
      <c r="Q61" s="641">
        <f t="shared" si="9"/>
        <v>83.354047231778068</v>
      </c>
      <c r="R61" s="639">
        <f t="shared" si="10"/>
        <v>0.53521230767565775</v>
      </c>
      <c r="S61" s="641">
        <f t="shared" si="11"/>
        <v>1224.1239642656019</v>
      </c>
      <c r="T61" s="643">
        <f t="shared" si="12"/>
        <v>579.68965763668393</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548">
        <f t="shared" si="14"/>
        <v>0</v>
      </c>
      <c r="I62" s="48">
        <f>IF(Weather_Site!M60&lt;180,Weather_Site!M60+180,Weather_Site!M60-180)</f>
        <v>36</v>
      </c>
      <c r="J62" s="639">
        <f t="shared" si="2"/>
        <v>9.2033499999999986</v>
      </c>
      <c r="K62" s="639">
        <f t="shared" si="3"/>
        <v>12.0792</v>
      </c>
      <c r="L62" s="639">
        <f t="shared" si="4"/>
        <v>13.082750000000001</v>
      </c>
      <c r="M62" s="639">
        <f t="shared" si="5"/>
        <v>13.082750000000001</v>
      </c>
      <c r="N62" s="640">
        <f t="shared" si="6"/>
        <v>0.39277010897451653</v>
      </c>
      <c r="O62" s="639">
        <f t="shared" si="7"/>
        <v>1</v>
      </c>
      <c r="P62" s="641">
        <f t="shared" si="8"/>
        <v>44.118158828623173</v>
      </c>
      <c r="Q62" s="641">
        <f t="shared" si="9"/>
        <v>90.006235554399225</v>
      </c>
      <c r="R62" s="639">
        <f t="shared" si="10"/>
        <v>0.49770780272801185</v>
      </c>
      <c r="S62" s="641">
        <f t="shared" si="11"/>
        <v>1652.5298989402563</v>
      </c>
      <c r="T62" s="643">
        <f t="shared" si="12"/>
        <v>524.27078741347202</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548">
        <f t="shared" si="14"/>
        <v>0</v>
      </c>
      <c r="I63" s="48">
        <f>IF(Weather_Site!M61&lt;180,Weather_Site!M61+180,Weather_Site!M61-180)</f>
        <v>8</v>
      </c>
      <c r="J63" s="639">
        <f t="shared" si="2"/>
        <v>10.226449999999998</v>
      </c>
      <c r="K63" s="639">
        <f t="shared" si="3"/>
        <v>13.4931</v>
      </c>
      <c r="L63" s="639">
        <f t="shared" si="4"/>
        <v>14.73485</v>
      </c>
      <c r="M63" s="639">
        <f t="shared" si="5"/>
        <v>14.73485</v>
      </c>
      <c r="N63" s="640">
        <f t="shared" si="6"/>
        <v>0.32879609251588859</v>
      </c>
      <c r="O63" s="639">
        <f t="shared" si="7"/>
        <v>1</v>
      </c>
      <c r="P63" s="641">
        <f t="shared" si="8"/>
        <v>98.789994337160891</v>
      </c>
      <c r="Q63" s="641">
        <f t="shared" si="9"/>
        <v>79.339412451771182</v>
      </c>
      <c r="R63" s="639">
        <f t="shared" si="10"/>
        <v>0.89144294899894372</v>
      </c>
      <c r="S63" s="641">
        <f t="shared" si="11"/>
        <v>131.7258166318843</v>
      </c>
      <c r="T63" s="643">
        <f t="shared" si="12"/>
        <v>1173.9544327065953</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14"/>
        <v>0</v>
      </c>
      <c r="I64" s="27">
        <f>IF(Weather_Site!M62&lt;180,Weather_Site!M62+180,Weather_Site!M62-180)</f>
        <v>9</v>
      </c>
      <c r="J64" s="635">
        <f t="shared" si="2"/>
        <v>10.597269999999998</v>
      </c>
      <c r="K64" s="635">
        <f t="shared" si="3"/>
        <v>14.010199999999999</v>
      </c>
      <c r="L64" s="635">
        <f t="shared" si="4"/>
        <v>15.33803</v>
      </c>
      <c r="M64" s="635">
        <f t="shared" si="5"/>
        <v>14.010199999999999</v>
      </c>
      <c r="N64" s="636">
        <f t="shared" si="6"/>
        <v>0.35454324626872186</v>
      </c>
      <c r="O64" s="635">
        <f t="shared" si="7"/>
        <v>1</v>
      </c>
      <c r="P64" s="637">
        <f t="shared" si="8"/>
        <v>126.75994331253222</v>
      </c>
      <c r="Q64" s="637">
        <f t="shared" si="9"/>
        <v>94.0453733585245</v>
      </c>
      <c r="R64" s="635">
        <f t="shared" si="10"/>
        <v>1.0675103539002635</v>
      </c>
      <c r="S64" s="637">
        <f t="shared" si="11"/>
        <v>279.94702331812459</v>
      </c>
      <c r="T64" s="644">
        <f t="shared" si="12"/>
        <v>1506.3306596972579</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14"/>
        <v>0</v>
      </c>
      <c r="I65" s="27">
        <f>IF(Weather_Site!M63&lt;180,Weather_Site!M63+180,Weather_Site!M63-180)</f>
        <v>358</v>
      </c>
      <c r="J65" s="635">
        <f t="shared" si="2"/>
        <v>9.7309399999999986</v>
      </c>
      <c r="K65" s="635">
        <f t="shared" si="3"/>
        <v>12.792400000000001</v>
      </c>
      <c r="L65" s="635">
        <f t="shared" si="4"/>
        <v>13.91966</v>
      </c>
      <c r="M65" s="635">
        <f t="shared" si="5"/>
        <v>12.792400000000001</v>
      </c>
      <c r="N65" s="636">
        <f t="shared" si="6"/>
        <v>0.40617221544549154</v>
      </c>
      <c r="O65" s="635">
        <f t="shared" si="7"/>
        <v>1</v>
      </c>
      <c r="P65" s="637">
        <f t="shared" si="8"/>
        <v>189.74286715313369</v>
      </c>
      <c r="Q65" s="637">
        <f t="shared" si="9"/>
        <v>126.73468951345029</v>
      </c>
      <c r="R65" s="635">
        <f t="shared" si="10"/>
        <v>1.4289917137066186</v>
      </c>
      <c r="S65" s="637">
        <f t="shared" si="11"/>
        <v>275.23045889329387</v>
      </c>
      <c r="T65" s="644">
        <f t="shared" si="12"/>
        <v>2254.777738003072</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14"/>
        <v>0</v>
      </c>
      <c r="I66" s="27">
        <f>IF(Weather_Site!M64&lt;180,Weather_Site!M64+180,Weather_Site!M64-180)</f>
        <v>3</v>
      </c>
      <c r="J66" s="635">
        <f t="shared" si="2"/>
        <v>8.3796299999999988</v>
      </c>
      <c r="K66" s="635">
        <f t="shared" si="3"/>
        <v>10.8863</v>
      </c>
      <c r="L66" s="635">
        <f t="shared" si="4"/>
        <v>11.701070000000001</v>
      </c>
      <c r="M66" s="635">
        <f t="shared" si="5"/>
        <v>10.8863</v>
      </c>
      <c r="N66" s="636">
        <f t="shared" si="6"/>
        <v>0.51697251206325112</v>
      </c>
      <c r="O66" s="635">
        <f t="shared" si="7"/>
        <v>1</v>
      </c>
      <c r="P66" s="637">
        <f t="shared" si="8"/>
        <v>348.56540245972144</v>
      </c>
      <c r="Q66" s="637">
        <f t="shared" si="9"/>
        <v>124.74690634844599</v>
      </c>
      <c r="R66" s="635">
        <f t="shared" si="10"/>
        <v>2.2181331727284839</v>
      </c>
      <c r="S66" s="637">
        <f t="shared" si="11"/>
        <v>130.30886744136433</v>
      </c>
      <c r="T66" s="644">
        <f t="shared" si="12"/>
        <v>4142.1188658963565</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14"/>
        <v>0</v>
      </c>
      <c r="I67" s="27">
        <f>IF(Weather_Site!M65&lt;180,Weather_Site!M65+180,Weather_Site!M65-180)</f>
        <v>359</v>
      </c>
      <c r="J67" s="635">
        <f t="shared" si="2"/>
        <v>7.5603400000000001</v>
      </c>
      <c r="K67" s="635">
        <f t="shared" si="3"/>
        <v>9.7170000000000005</v>
      </c>
      <c r="L67" s="635">
        <f t="shared" si="4"/>
        <v>10.343060000000001</v>
      </c>
      <c r="M67" s="635">
        <f t="shared" si="5"/>
        <v>9.7170000000000005</v>
      </c>
      <c r="N67" s="636">
        <f t="shared" si="6"/>
        <v>0.61269290982871072</v>
      </c>
      <c r="O67" s="635">
        <f t="shared" si="7"/>
        <v>1</v>
      </c>
      <c r="P67" s="637">
        <f t="shared" si="8"/>
        <v>219.05626276974002</v>
      </c>
      <c r="Q67" s="637">
        <f t="shared" si="9"/>
        <v>176.95492659340692</v>
      </c>
      <c r="R67" s="635">
        <f t="shared" si="10"/>
        <v>1.5853962846544547</v>
      </c>
      <c r="S67" s="637">
        <f t="shared" si="11"/>
        <v>179.29098825885012</v>
      </c>
      <c r="T67" s="644">
        <f t="shared" si="12"/>
        <v>2603.1185892470771</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14"/>
        <v>0</v>
      </c>
      <c r="I68" s="27">
        <f>IF(Weather_Site!M66&lt;180,Weather_Site!M66+180,Weather_Site!M66-180)</f>
        <v>338</v>
      </c>
      <c r="J68" s="635">
        <f t="shared" si="2"/>
        <v>6.40625</v>
      </c>
      <c r="K68" s="635">
        <f t="shared" si="3"/>
        <v>8.0914000000000001</v>
      </c>
      <c r="L68" s="635">
        <f t="shared" si="4"/>
        <v>8.45045</v>
      </c>
      <c r="M68" s="635">
        <f t="shared" si="5"/>
        <v>8.0914000000000001</v>
      </c>
      <c r="N68" s="636">
        <f t="shared" si="6"/>
        <v>0.8055789498352619</v>
      </c>
      <c r="O68" s="635">
        <f t="shared" si="7"/>
        <v>1</v>
      </c>
      <c r="P68" s="637">
        <f t="shared" si="8"/>
        <v>461.06869646922689</v>
      </c>
      <c r="Q68" s="637">
        <f t="shared" si="9"/>
        <v>204.08013141232811</v>
      </c>
      <c r="R68" s="635">
        <f t="shared" si="10"/>
        <v>2.7153051269902653</v>
      </c>
      <c r="S68" s="637">
        <f t="shared" si="11"/>
        <v>539.66542629300693</v>
      </c>
      <c r="T68" s="644">
        <f t="shared" si="12"/>
        <v>5479.033009709312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548">
        <f t="shared" si="14"/>
        <v>0</v>
      </c>
      <c r="I69" s="48">
        <f>IF(Weather_Site!M67&lt;180,Weather_Site!M67+180,Weather_Site!M67-180)</f>
        <v>333</v>
      </c>
      <c r="J69" s="639">
        <f t="shared" si="2"/>
        <v>5.7165699999999999</v>
      </c>
      <c r="K69" s="639">
        <f t="shared" si="3"/>
        <v>7.1046000000000014</v>
      </c>
      <c r="L69" s="639">
        <f t="shared" si="4"/>
        <v>7.3049299999999988</v>
      </c>
      <c r="M69" s="639">
        <f t="shared" si="5"/>
        <v>7.1046000000000014</v>
      </c>
      <c r="N69" s="640">
        <f t="shared" si="6"/>
        <v>0.97847953918459829</v>
      </c>
      <c r="O69" s="639">
        <f t="shared" si="7"/>
        <v>1</v>
      </c>
      <c r="P69" s="641">
        <f t="shared" si="8"/>
        <v>404.10357698414066</v>
      </c>
      <c r="Q69" s="641">
        <f t="shared" si="9"/>
        <v>247.88164211825872</v>
      </c>
      <c r="R69" s="639">
        <f t="shared" si="10"/>
        <v>2.4683702417747684</v>
      </c>
      <c r="S69" s="641">
        <f t="shared" si="11"/>
        <v>435.78541016740428</v>
      </c>
      <c r="T69" s="643">
        <f t="shared" si="12"/>
        <v>4802.0975064948707</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548">
        <f t="shared" si="14"/>
        <v>0</v>
      </c>
      <c r="I70" s="48">
        <f>IF(Weather_Site!M68&lt;180,Weather_Site!M68+180,Weather_Site!M68-180)</f>
        <v>342</v>
      </c>
      <c r="J70" s="639">
        <f t="shared" si="2"/>
        <v>5.3363999999999994</v>
      </c>
      <c r="K70" s="639">
        <f t="shared" si="3"/>
        <v>6.5650000000000013</v>
      </c>
      <c r="L70" s="639">
        <f t="shared" si="4"/>
        <v>6.6776000000000009</v>
      </c>
      <c r="M70" s="639">
        <f t="shared" si="5"/>
        <v>6.5650000000000013</v>
      </c>
      <c r="N70" s="640">
        <f t="shared" si="6"/>
        <v>1.1011274156195681</v>
      </c>
      <c r="O70" s="639">
        <f t="shared" si="7"/>
        <v>1</v>
      </c>
      <c r="P70" s="641">
        <f t="shared" si="8"/>
        <v>454.75608793820953</v>
      </c>
      <c r="Q70" s="641">
        <f t="shared" si="9"/>
        <v>278.95245739391873</v>
      </c>
      <c r="R70" s="639">
        <f t="shared" si="10"/>
        <v>2.6883756616165329</v>
      </c>
      <c r="S70" s="641">
        <f t="shared" si="11"/>
        <v>610.37269642022375</v>
      </c>
      <c r="T70" s="643">
        <f t="shared" si="12"/>
        <v>5404.0181783323897</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548">
        <f t="shared" si="14"/>
        <v>0</v>
      </c>
      <c r="I71" s="48">
        <f>IF(Weather_Site!M69&lt;180,Weather_Site!M69+180,Weather_Site!M69-180)</f>
        <v>18</v>
      </c>
      <c r="J71" s="639">
        <f t="shared" si="2"/>
        <v>4.9363499999999991</v>
      </c>
      <c r="K71" s="639">
        <f t="shared" si="3"/>
        <v>5.9905000000000008</v>
      </c>
      <c r="L71" s="639">
        <f t="shared" si="4"/>
        <v>6.0111499999999998</v>
      </c>
      <c r="M71" s="639">
        <f t="shared" si="5"/>
        <v>4.9363499999999991</v>
      </c>
      <c r="N71" s="640">
        <f t="shared" si="6"/>
        <v>1.686403948451225</v>
      </c>
      <c r="O71" s="639">
        <f t="shared" si="7"/>
        <v>1</v>
      </c>
      <c r="P71" s="641">
        <f t="shared" si="8"/>
        <v>696.47022806140774</v>
      </c>
      <c r="Q71" s="641">
        <f t="shared" si="9"/>
        <v>427.22260739878425</v>
      </c>
      <c r="R71" s="639">
        <f t="shared" si="10"/>
        <v>3.6587659780132009</v>
      </c>
      <c r="S71" s="641">
        <f t="shared" si="11"/>
        <v>1377.5087264954464</v>
      </c>
      <c r="T71" s="643">
        <f t="shared" si="12"/>
        <v>8276.3878767963961</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548">
        <f t="shared" si="14"/>
        <v>0</v>
      </c>
      <c r="I72" s="48">
        <f>IF(Weather_Site!M70&lt;180,Weather_Site!M70+180,Weather_Site!M70-180)</f>
        <v>28</v>
      </c>
      <c r="J72" s="639">
        <f t="shared" si="2"/>
        <v>4.4792199999999998</v>
      </c>
      <c r="K72" s="639">
        <f t="shared" si="3"/>
        <v>5.3304000000000009</v>
      </c>
      <c r="L72" s="639">
        <f t="shared" si="4"/>
        <v>5.2461800000000007</v>
      </c>
      <c r="M72" s="639">
        <f t="shared" si="5"/>
        <v>4.4792199999999998</v>
      </c>
      <c r="N72" s="640">
        <f t="shared" si="6"/>
        <v>1.9500956755275167</v>
      </c>
      <c r="O72" s="639">
        <f t="shared" si="7"/>
        <v>1</v>
      </c>
      <c r="P72" s="641">
        <f t="shared" si="8"/>
        <v>805.37262802518671</v>
      </c>
      <c r="Q72" s="641">
        <f t="shared" si="9"/>
        <v>446.87914562391762</v>
      </c>
      <c r="R72" s="639">
        <f t="shared" si="10"/>
        <v>4.0639823894116152</v>
      </c>
      <c r="S72" s="641">
        <f t="shared" si="11"/>
        <v>1689.5021959690121</v>
      </c>
      <c r="T72" s="643">
        <f t="shared" si="12"/>
        <v>9570.5113963659678</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548">
        <f t="shared" si="14"/>
        <v>0</v>
      </c>
      <c r="I73" s="48">
        <f>IF(Weather_Site!M71&lt;180,Weather_Site!M71+180,Weather_Site!M71-180)</f>
        <v>32</v>
      </c>
      <c r="J73" s="639">
        <f t="shared" si="2"/>
        <v>4.2001199999999992</v>
      </c>
      <c r="K73" s="639">
        <f t="shared" si="3"/>
        <v>4.9305000000000003</v>
      </c>
      <c r="L73" s="639">
        <f t="shared" si="4"/>
        <v>4.7820800000000006</v>
      </c>
      <c r="M73" s="639">
        <f t="shared" si="5"/>
        <v>4.2001199999999992</v>
      </c>
      <c r="N73" s="640">
        <f t="shared" si="6"/>
        <v>2.1469763389735363</v>
      </c>
      <c r="O73" s="639">
        <f t="shared" si="7"/>
        <v>1</v>
      </c>
      <c r="P73" s="641">
        <f t="shared" si="8"/>
        <v>645.07999090337319</v>
      </c>
      <c r="Q73" s="641">
        <f t="shared" si="9"/>
        <v>543.90102110597559</v>
      </c>
      <c r="R73" s="639">
        <f t="shared" si="10"/>
        <v>3.4615188081063066</v>
      </c>
      <c r="S73" s="641">
        <f t="shared" si="11"/>
        <v>1323.4807347672768</v>
      </c>
      <c r="T73" s="643">
        <f t="shared" si="12"/>
        <v>7665.7005585684183</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14"/>
        <v>0</v>
      </c>
      <c r="I74" s="27">
        <f>IF(Weather_Site!M72&lt;180,Weather_Site!M72+180,Weather_Site!M72-180)</f>
        <v>36</v>
      </c>
      <c r="J74" s="635">
        <f t="shared" si="2"/>
        <v>4.0716900000000003</v>
      </c>
      <c r="K74" s="635">
        <f t="shared" si="3"/>
        <v>4.7378999999999998</v>
      </c>
      <c r="L74" s="635">
        <f t="shared" si="4"/>
        <v>4.5604100000000001</v>
      </c>
      <c r="M74" s="635">
        <f t="shared" si="5"/>
        <v>4.0716900000000003</v>
      </c>
      <c r="N74" s="636">
        <f t="shared" si="6"/>
        <v>2.2490044418758264</v>
      </c>
      <c r="O74" s="635">
        <f t="shared" si="7"/>
        <v>1</v>
      </c>
      <c r="P74" s="637">
        <f t="shared" si="8"/>
        <v>928.81936026235473</v>
      </c>
      <c r="Q74" s="637">
        <f t="shared" si="9"/>
        <v>542.69103277505963</v>
      </c>
      <c r="R74" s="635">
        <f t="shared" si="10"/>
        <v>4.5053691835106502</v>
      </c>
      <c r="S74" s="637">
        <f t="shared" si="11"/>
        <v>2022.2256537176208</v>
      </c>
      <c r="T74" s="644">
        <f t="shared" si="12"/>
        <v>11037.470064450983</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14"/>
        <v>0</v>
      </c>
      <c r="I75" s="27">
        <f>IF(Weather_Site!M73&lt;180,Weather_Site!M73+180,Weather_Site!M73-180)</f>
        <v>38</v>
      </c>
      <c r="J75" s="635">
        <f t="shared" si="2"/>
        <v>3.9221999999999997</v>
      </c>
      <c r="K75" s="635">
        <f t="shared" si="3"/>
        <v>4.5205000000000002</v>
      </c>
      <c r="L75" s="635">
        <f t="shared" si="4"/>
        <v>4.3088000000000006</v>
      </c>
      <c r="M75" s="635">
        <f t="shared" si="5"/>
        <v>3.9221999999999997</v>
      </c>
      <c r="N75" s="636">
        <f t="shared" si="6"/>
        <v>2.3783542564791125</v>
      </c>
      <c r="O75" s="635">
        <f t="shared" si="7"/>
        <v>1</v>
      </c>
      <c r="P75" s="637">
        <f t="shared" si="8"/>
        <v>850.33364448834766</v>
      </c>
      <c r="Q75" s="637">
        <f t="shared" si="9"/>
        <v>630.87709717613291</v>
      </c>
      <c r="R75" s="635">
        <f t="shared" si="10"/>
        <v>4.2267756131861347</v>
      </c>
      <c r="S75" s="637">
        <f t="shared" si="11"/>
        <v>1868.5153280148979</v>
      </c>
      <c r="T75" s="644">
        <f t="shared" si="12"/>
        <v>10104.798142003197</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14"/>
        <v>0</v>
      </c>
      <c r="I76" s="27">
        <f>IF(Weather_Site!M74&lt;180,Weather_Site!M74+180,Weather_Site!M74-180)</f>
        <v>25</v>
      </c>
      <c r="J76" s="635">
        <f t="shared" si="2"/>
        <v>4.0307499999999994</v>
      </c>
      <c r="K76" s="635">
        <f t="shared" si="3"/>
        <v>4.6782000000000004</v>
      </c>
      <c r="L76" s="635">
        <f t="shared" si="4"/>
        <v>4.4913500000000006</v>
      </c>
      <c r="M76" s="635">
        <f t="shared" si="5"/>
        <v>4.6782000000000004</v>
      </c>
      <c r="N76" s="636">
        <f t="shared" si="6"/>
        <v>1.8274088117278806</v>
      </c>
      <c r="O76" s="635">
        <f t="shared" si="7"/>
        <v>1</v>
      </c>
      <c r="P76" s="637">
        <f t="shared" si="8"/>
        <v>853.67185201933512</v>
      </c>
      <c r="Q76" s="637">
        <f t="shared" si="9"/>
        <v>462.94386232129915</v>
      </c>
      <c r="R76" s="635">
        <f t="shared" si="10"/>
        <v>4.2387660679806549</v>
      </c>
      <c r="S76" s="637">
        <f t="shared" si="11"/>
        <v>1772.0925147528969</v>
      </c>
      <c r="T76" s="644">
        <f t="shared" si="12"/>
        <v>10144.467174829764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14"/>
        <v>0</v>
      </c>
      <c r="I77" s="27">
        <f>IF(Weather_Site!M75&lt;180,Weather_Site!M75+180,Weather_Site!M75-180)</f>
        <v>22</v>
      </c>
      <c r="J77" s="635">
        <f t="shared" si="2"/>
        <v>4.0468900000000003</v>
      </c>
      <c r="K77" s="635">
        <f t="shared" si="3"/>
        <v>4.7041000000000004</v>
      </c>
      <c r="L77" s="635">
        <f t="shared" si="4"/>
        <v>4.5208100000000009</v>
      </c>
      <c r="M77" s="635">
        <f t="shared" si="5"/>
        <v>4.7041000000000004</v>
      </c>
      <c r="N77" s="636">
        <f t="shared" si="6"/>
        <v>1.8123875172028865</v>
      </c>
      <c r="O77" s="635">
        <f t="shared" si="7"/>
        <v>1</v>
      </c>
      <c r="P77" s="637">
        <f t="shared" si="8"/>
        <v>748.50035105835798</v>
      </c>
      <c r="Q77" s="637">
        <f t="shared" si="9"/>
        <v>459.13846526956269</v>
      </c>
      <c r="R77" s="635">
        <f t="shared" si="10"/>
        <v>3.8544010928734882</v>
      </c>
      <c r="S77" s="637">
        <f t="shared" si="11"/>
        <v>1528.9020769950803</v>
      </c>
      <c r="T77" s="644">
        <f t="shared" si="12"/>
        <v>8894.6791717434862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14"/>
        <v>0</v>
      </c>
      <c r="I78" s="27">
        <f>IF(Weather_Site!M76&lt;180,Weather_Site!M76+180,Weather_Site!M76-180)</f>
        <v>26</v>
      </c>
      <c r="J78" s="635">
        <f t="shared" si="2"/>
        <v>4.3402599999999998</v>
      </c>
      <c r="K78" s="635">
        <f t="shared" si="3"/>
        <v>5.1254000000000008</v>
      </c>
      <c r="L78" s="635">
        <f t="shared" si="4"/>
        <v>5.0095399999999994</v>
      </c>
      <c r="M78" s="635">
        <f t="shared" si="5"/>
        <v>5.0095399999999994</v>
      </c>
      <c r="N78" s="636">
        <f t="shared" si="6"/>
        <v>1.6497028091355987</v>
      </c>
      <c r="O78" s="635">
        <f t="shared" si="7"/>
        <v>1</v>
      </c>
      <c r="P78" s="637">
        <f t="shared" si="8"/>
        <v>681.31297532089866</v>
      </c>
      <c r="Q78" s="637">
        <f t="shared" si="9"/>
        <v>378.04185257755097</v>
      </c>
      <c r="R78" s="635">
        <f t="shared" si="10"/>
        <v>3.6010215377916488</v>
      </c>
      <c r="S78" s="637">
        <f t="shared" si="11"/>
        <v>1332.5591504431259</v>
      </c>
      <c r="T78" s="644">
        <f t="shared" si="12"/>
        <v>8096.2691900633454</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548">
        <f t="shared" si="14"/>
        <v>0</v>
      </c>
      <c r="I79" s="48">
        <f>IF(Weather_Site!M77&lt;180,Weather_Site!M77+180,Weather_Site!M77-180)</f>
        <v>19</v>
      </c>
      <c r="J79" s="639">
        <f t="shared" ref="J79:J142" si="15">2.76+0.124*E79-0.0187*D79</f>
        <v>5.1174299999999997</v>
      </c>
      <c r="K79" s="639">
        <f t="shared" ref="K79:K142" si="16">3.6+0.169*E79-0.045*D79</f>
        <v>6.2451000000000008</v>
      </c>
      <c r="L79" s="639">
        <f t="shared" ref="L79:L142" si="17">3.08+0.198*E79-0.0483*D79</f>
        <v>6.3076699999999999</v>
      </c>
      <c r="M79" s="639">
        <f t="shared" ref="M79:M142" si="18">IF(AND(OR(MONTH(B79)&gt;10,MONTH(B79)&lt;3),AND(HOUR(C79)&gt;=13,HOUR(C79)&lt;=17)),J79,IF(OR(HOUR(C79)&lt;6,HOUR(C79)&gt;=20),L79,K79))</f>
        <v>6.3076699999999999</v>
      </c>
      <c r="N79" s="640">
        <f t="shared" ref="N79:N142" si="19">M79^-1.495/0.0545</f>
        <v>1.1689593157349316</v>
      </c>
      <c r="O79" s="639">
        <f t="shared" ref="O79:O142" si="20">EXP(0.069*H79)</f>
        <v>1</v>
      </c>
      <c r="P79" s="641">
        <f t="shared" ref="P79:P142" si="21">(30+1.531*(IF(G79&lt;5,0,G79-5))^0.858*$D$6^0.93*($D$7*$C$8)^0.637*1.03)*N79*O79</f>
        <v>351.22523293443606</v>
      </c>
      <c r="Q79" s="641">
        <f t="shared" ref="Q79:Q142" si="22">(30+1.531*(IF((0.2*G80+4)&lt;5,0,(0.2*G80+6)-5))^0.858*$D$6^0.93*($D$7*$C$8)^0.637*1.03)*N79</f>
        <v>253.53370001855512</v>
      </c>
      <c r="R79" s="639">
        <f t="shared" ref="R79:R142" si="23">0.0193*P79^0.723*EXP(0.64*$C$10)</f>
        <v>2.2303578624870739</v>
      </c>
      <c r="S79" s="641">
        <f t="shared" ref="S79:S142" si="24">MAX(50,ABS(176.969*(ATAN($D$6)*(P79/G79^0.25)^0.5)+1568800*($D$6^-1*(P79/G79^0.25)^-1.5)-3015.09))</f>
        <v>313.66793862655913</v>
      </c>
      <c r="T79" s="643">
        <f t="shared" ref="T79:T142" si="25">18600*P79/3600*F$11/10</f>
        <v>4173.7265180375489</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548">
        <f t="shared" si="14"/>
        <v>0</v>
      </c>
      <c r="I80" s="48">
        <f>IF(Weather_Site!M78&lt;180,Weather_Site!M78+180,Weather_Site!M78-180)</f>
        <v>12</v>
      </c>
      <c r="J80" s="639">
        <f t="shared" si="15"/>
        <v>5.7345799999999993</v>
      </c>
      <c r="K80" s="639">
        <f t="shared" si="16"/>
        <v>7.1350000000000007</v>
      </c>
      <c r="L80" s="639">
        <f t="shared" si="17"/>
        <v>7.339220000000001</v>
      </c>
      <c r="M80" s="639">
        <f t="shared" si="18"/>
        <v>7.339220000000001</v>
      </c>
      <c r="N80" s="640">
        <f t="shared" si="19"/>
        <v>0.9320879379146948</v>
      </c>
      <c r="O80" s="639">
        <f t="shared" si="20"/>
        <v>1</v>
      </c>
      <c r="P80" s="641">
        <f t="shared" si="21"/>
        <v>224.91541423644284</v>
      </c>
      <c r="Q80" s="641">
        <f t="shared" si="22"/>
        <v>190.59737656166547</v>
      </c>
      <c r="R80" s="639">
        <f t="shared" si="23"/>
        <v>1.615942785348339</v>
      </c>
      <c r="S80" s="641">
        <f t="shared" si="24"/>
        <v>120.74178593570423</v>
      </c>
      <c r="T80" s="643">
        <f t="shared" si="25"/>
        <v>2672.7448391763955</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548">
        <f t="shared" si="14"/>
        <v>0</v>
      </c>
      <c r="I81" s="48">
        <f>IF(Weather_Site!M79&lt;180,Weather_Site!M79+180,Weather_Site!M79-180)</f>
        <v>5</v>
      </c>
      <c r="J81" s="639">
        <f t="shared" si="15"/>
        <v>6.2078500000000005</v>
      </c>
      <c r="K81" s="639">
        <f t="shared" si="16"/>
        <v>7.8210000000000006</v>
      </c>
      <c r="L81" s="639">
        <f t="shared" si="17"/>
        <v>8.1336499999999994</v>
      </c>
      <c r="M81" s="639">
        <f t="shared" si="18"/>
        <v>8.1336499999999994</v>
      </c>
      <c r="N81" s="640">
        <f t="shared" si="19"/>
        <v>0.7993310890588321</v>
      </c>
      <c r="O81" s="639">
        <f t="shared" si="20"/>
        <v>1</v>
      </c>
      <c r="P81" s="641">
        <f t="shared" si="21"/>
        <v>143.25388849784221</v>
      </c>
      <c r="Q81" s="641">
        <f t="shared" si="22"/>
        <v>163.4506814020541</v>
      </c>
      <c r="R81" s="639">
        <f t="shared" si="23"/>
        <v>1.1662214497270931</v>
      </c>
      <c r="S81" s="641">
        <f t="shared" si="24"/>
        <v>307.99385514488313</v>
      </c>
      <c r="T81" s="643">
        <f t="shared" si="25"/>
        <v>1702.3337083160252</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548">
        <f t="shared" si="14"/>
        <v>0</v>
      </c>
      <c r="I82" s="48">
        <f>IF(Weather_Site!M80&lt;180,Weather_Site!M80+180,Weather_Site!M80-180)</f>
        <v>2</v>
      </c>
      <c r="J82" s="639">
        <f t="shared" si="15"/>
        <v>6.5346799999999998</v>
      </c>
      <c r="K82" s="639">
        <f t="shared" si="16"/>
        <v>8.2840000000000007</v>
      </c>
      <c r="L82" s="639">
        <f t="shared" si="17"/>
        <v>8.6721200000000014</v>
      </c>
      <c r="M82" s="639">
        <f t="shared" si="18"/>
        <v>8.6721200000000014</v>
      </c>
      <c r="N82" s="640">
        <f t="shared" si="19"/>
        <v>0.72628354711944998</v>
      </c>
      <c r="O82" s="639">
        <f t="shared" si="20"/>
        <v>1</v>
      </c>
      <c r="P82" s="641">
        <f t="shared" si="21"/>
        <v>130.16251175638845</v>
      </c>
      <c r="Q82" s="641">
        <f t="shared" si="22"/>
        <v>166.43335765033771</v>
      </c>
      <c r="R82" s="639">
        <f t="shared" si="23"/>
        <v>1.0881515984485164</v>
      </c>
      <c r="S82" s="641">
        <f t="shared" si="24"/>
        <v>307.23531569517672</v>
      </c>
      <c r="T82" s="643">
        <f t="shared" si="25"/>
        <v>1546.764514705083</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548">
        <f t="shared" si="14"/>
        <v>0</v>
      </c>
      <c r="I83" s="48">
        <f>IF(Weather_Site!M81&lt;180,Weather_Site!M81+180,Weather_Site!M81-180)</f>
        <v>16</v>
      </c>
      <c r="J83" s="639">
        <f t="shared" si="15"/>
        <v>6.7536500000000004</v>
      </c>
      <c r="K83" s="639">
        <f t="shared" si="16"/>
        <v>8.6039000000000012</v>
      </c>
      <c r="L83" s="639">
        <f t="shared" si="17"/>
        <v>9.0420500000000015</v>
      </c>
      <c r="M83" s="639">
        <f t="shared" si="18"/>
        <v>9.0420500000000015</v>
      </c>
      <c r="N83" s="640">
        <f t="shared" si="19"/>
        <v>0.68231430399354887</v>
      </c>
      <c r="O83" s="639">
        <f t="shared" si="20"/>
        <v>1</v>
      </c>
      <c r="P83" s="641">
        <f t="shared" si="21"/>
        <v>205.00799055094998</v>
      </c>
      <c r="Q83" s="641">
        <f t="shared" si="22"/>
        <v>172.85306778682602</v>
      </c>
      <c r="R83" s="639">
        <f t="shared" si="23"/>
        <v>1.5112153771432491</v>
      </c>
      <c r="S83" s="641">
        <f t="shared" si="24"/>
        <v>204.18254541862734</v>
      </c>
      <c r="T83" s="643">
        <f t="shared" si="25"/>
        <v>2436.1782877137889</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115" si="26">C$4</f>
        <v>0</v>
      </c>
      <c r="I84" s="27">
        <f>IF(Weather_Site!M82&lt;180,Weather_Site!M82+180,Weather_Site!M82-180)</f>
        <v>359</v>
      </c>
      <c r="J84" s="635">
        <f t="shared" si="15"/>
        <v>6.981279999999999</v>
      </c>
      <c r="K84" s="635">
        <f t="shared" si="16"/>
        <v>8.9317000000000011</v>
      </c>
      <c r="L84" s="635">
        <f t="shared" si="17"/>
        <v>9.4221199999999996</v>
      </c>
      <c r="M84" s="635">
        <f t="shared" si="18"/>
        <v>9.4221199999999996</v>
      </c>
      <c r="N84" s="636">
        <f t="shared" si="19"/>
        <v>0.64158070468678108</v>
      </c>
      <c r="O84" s="635">
        <f t="shared" si="20"/>
        <v>1</v>
      </c>
      <c r="P84" s="637">
        <f t="shared" si="21"/>
        <v>264.96727555896427</v>
      </c>
      <c r="Q84" s="637">
        <f t="shared" si="22"/>
        <v>162.53388268259476</v>
      </c>
      <c r="R84" s="635">
        <f t="shared" si="23"/>
        <v>1.8192151893560602</v>
      </c>
      <c r="S84" s="637">
        <f t="shared" si="24"/>
        <v>50.884887051151054</v>
      </c>
      <c r="T84" s="644">
        <f t="shared" si="25"/>
        <v>3148.6944578923585</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26"/>
        <v>0</v>
      </c>
      <c r="I85" s="27">
        <f>IF(Weather_Site!M83&lt;180,Weather_Site!M83+180,Weather_Site!M83-180)</f>
        <v>357</v>
      </c>
      <c r="J85" s="635">
        <f t="shared" si="15"/>
        <v>7.5331799999999998</v>
      </c>
      <c r="K85" s="635">
        <f t="shared" si="16"/>
        <v>9.703400000000002</v>
      </c>
      <c r="L85" s="635">
        <f t="shared" si="17"/>
        <v>10.321820000000001</v>
      </c>
      <c r="M85" s="635">
        <f t="shared" si="18"/>
        <v>10.321820000000001</v>
      </c>
      <c r="N85" s="636">
        <f t="shared" si="19"/>
        <v>0.55980639747508831</v>
      </c>
      <c r="O85" s="635">
        <f t="shared" si="20"/>
        <v>1</v>
      </c>
      <c r="P85" s="637">
        <f t="shared" si="21"/>
        <v>231.19519476800275</v>
      </c>
      <c r="Q85" s="637">
        <f t="shared" si="22"/>
        <v>148.49303212824967</v>
      </c>
      <c r="R85" s="635">
        <f t="shared" si="23"/>
        <v>1.6484385358442946</v>
      </c>
      <c r="S85" s="637">
        <f t="shared" si="24"/>
        <v>158.9701135715095</v>
      </c>
      <c r="T85" s="644">
        <f t="shared" si="25"/>
        <v>2747.3695644930995</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26"/>
        <v>0</v>
      </c>
      <c r="I86" s="27">
        <f>IF(Weather_Site!M84&lt;180,Weather_Site!M84+180,Weather_Site!M84-180)</f>
        <v>1</v>
      </c>
      <c r="J86" s="635">
        <f t="shared" si="15"/>
        <v>7.9660000000000002</v>
      </c>
      <c r="K86" s="635">
        <f t="shared" si="16"/>
        <v>10.305</v>
      </c>
      <c r="L86" s="635">
        <f t="shared" si="17"/>
        <v>11.024000000000001</v>
      </c>
      <c r="M86" s="635">
        <f t="shared" si="18"/>
        <v>11.024000000000001</v>
      </c>
      <c r="N86" s="636">
        <f t="shared" si="19"/>
        <v>0.50734850724373659</v>
      </c>
      <c r="O86" s="635">
        <f t="shared" si="20"/>
        <v>1</v>
      </c>
      <c r="P86" s="637">
        <f t="shared" si="21"/>
        <v>237.00725148002621</v>
      </c>
      <c r="Q86" s="637">
        <f t="shared" si="22"/>
        <v>158.30392403902957</v>
      </c>
      <c r="R86" s="635">
        <f t="shared" si="23"/>
        <v>1.6782967170849623</v>
      </c>
      <c r="S86" s="637">
        <f t="shared" si="24"/>
        <v>156.82003172342502</v>
      </c>
      <c r="T86" s="644">
        <f t="shared" si="25"/>
        <v>2816.4361717543115</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26"/>
        <v>0</v>
      </c>
      <c r="I87" s="27">
        <f>IF(Weather_Site!M85&lt;180,Weather_Site!M85+180,Weather_Site!M85-180)</f>
        <v>4</v>
      </c>
      <c r="J87" s="635">
        <f t="shared" si="15"/>
        <v>8.5141600000000004</v>
      </c>
      <c r="K87" s="635">
        <f t="shared" si="16"/>
        <v>11.067699999999999</v>
      </c>
      <c r="L87" s="635">
        <f t="shared" si="17"/>
        <v>11.91404</v>
      </c>
      <c r="M87" s="635">
        <f t="shared" si="18"/>
        <v>11.91404</v>
      </c>
      <c r="N87" s="636">
        <f t="shared" si="19"/>
        <v>0.45174693245283143</v>
      </c>
      <c r="O87" s="635">
        <f t="shared" si="20"/>
        <v>1</v>
      </c>
      <c r="P87" s="637">
        <f t="shared" si="21"/>
        <v>304.58747350400768</v>
      </c>
      <c r="Q87" s="637">
        <f t="shared" si="22"/>
        <v>146.14302477598699</v>
      </c>
      <c r="R87" s="635">
        <f t="shared" si="23"/>
        <v>2.012055183041852</v>
      </c>
      <c r="S87" s="637">
        <f t="shared" si="24"/>
        <v>50</v>
      </c>
      <c r="T87" s="644">
        <f t="shared" si="25"/>
        <v>3619.5144768059581</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26"/>
        <v>0</v>
      </c>
      <c r="I88" s="27">
        <f>IF(Weather_Site!M86&lt;180,Weather_Site!M86+180,Weather_Site!M86-180)</f>
        <v>2</v>
      </c>
      <c r="J88" s="635">
        <f t="shared" si="15"/>
        <v>8.8409899999999997</v>
      </c>
      <c r="K88" s="635">
        <f t="shared" si="16"/>
        <v>11.530700000000001</v>
      </c>
      <c r="L88" s="635">
        <f t="shared" si="17"/>
        <v>12.45251</v>
      </c>
      <c r="M88" s="635">
        <f t="shared" si="18"/>
        <v>11.530700000000001</v>
      </c>
      <c r="N88" s="636">
        <f t="shared" si="19"/>
        <v>0.47438316307910078</v>
      </c>
      <c r="O88" s="635">
        <f t="shared" si="20"/>
        <v>1</v>
      </c>
      <c r="P88" s="637">
        <f t="shared" si="21"/>
        <v>343.53924969579822</v>
      </c>
      <c r="Q88" s="637">
        <f t="shared" si="22"/>
        <v>158.87890711559953</v>
      </c>
      <c r="R88" s="635">
        <f t="shared" si="23"/>
        <v>2.1949619397122655</v>
      </c>
      <c r="S88" s="637">
        <f t="shared" si="24"/>
        <v>97.670240309027122</v>
      </c>
      <c r="T88" s="644">
        <f t="shared" si="25"/>
        <v>4082.3914172184027</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548">
        <f t="shared" si="26"/>
        <v>0</v>
      </c>
      <c r="I89" s="48">
        <f>IF(Weather_Site!M87&lt;180,Weather_Site!M87+180,Weather_Site!M87-180)</f>
        <v>356</v>
      </c>
      <c r="J89" s="639">
        <f t="shared" si="15"/>
        <v>8.4682999999999993</v>
      </c>
      <c r="K89" s="639">
        <f t="shared" si="16"/>
        <v>11.0091</v>
      </c>
      <c r="L89" s="639">
        <f t="shared" si="17"/>
        <v>11.8445</v>
      </c>
      <c r="M89" s="639">
        <f t="shared" si="18"/>
        <v>11.0091</v>
      </c>
      <c r="N89" s="640">
        <f t="shared" si="19"/>
        <v>0.50837540558125771</v>
      </c>
      <c r="O89" s="639">
        <f t="shared" si="20"/>
        <v>1</v>
      </c>
      <c r="P89" s="641">
        <f t="shared" si="21"/>
        <v>393.24369921137458</v>
      </c>
      <c r="Q89" s="641">
        <f t="shared" si="22"/>
        <v>193.12570802549024</v>
      </c>
      <c r="R89" s="639">
        <f t="shared" si="23"/>
        <v>2.42022947365927</v>
      </c>
      <c r="S89" s="641">
        <f t="shared" si="24"/>
        <v>237.34454198025105</v>
      </c>
      <c r="T89" s="643">
        <f t="shared" si="25"/>
        <v>4673.0459589618349</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548">
        <f t="shared" si="26"/>
        <v>0</v>
      </c>
      <c r="I90" s="48">
        <f>IF(Weather_Site!M88&lt;180,Weather_Site!M88+180,Weather_Site!M88-180)</f>
        <v>359</v>
      </c>
      <c r="J90" s="639">
        <f t="shared" si="15"/>
        <v>7.691819999999999</v>
      </c>
      <c r="K90" s="639">
        <f t="shared" si="16"/>
        <v>9.9040000000000017</v>
      </c>
      <c r="L90" s="639">
        <f t="shared" si="17"/>
        <v>10.560380000000002</v>
      </c>
      <c r="M90" s="639">
        <f t="shared" si="18"/>
        <v>9.9040000000000017</v>
      </c>
      <c r="N90" s="640">
        <f t="shared" si="19"/>
        <v>0.59547920977032032</v>
      </c>
      <c r="O90" s="639">
        <f t="shared" si="20"/>
        <v>1</v>
      </c>
      <c r="P90" s="641">
        <f t="shared" si="21"/>
        <v>575.21303486292561</v>
      </c>
      <c r="Q90" s="641">
        <f t="shared" si="22"/>
        <v>178.91753916833497</v>
      </c>
      <c r="R90" s="639">
        <f t="shared" si="23"/>
        <v>3.186194235669122</v>
      </c>
      <c r="S90" s="641">
        <f t="shared" si="24"/>
        <v>708.08216299874721</v>
      </c>
      <c r="T90" s="643">
        <f t="shared" si="25"/>
        <v>6835.4482309544328</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548">
        <f t="shared" si="26"/>
        <v>0</v>
      </c>
      <c r="I91" s="48">
        <f>IF(Weather_Site!M89&lt;180,Weather_Site!M89+180,Weather_Site!M89-180)</f>
        <v>347</v>
      </c>
      <c r="J91" s="639">
        <f t="shared" si="15"/>
        <v>7.2805499999999999</v>
      </c>
      <c r="K91" s="639">
        <f t="shared" si="16"/>
        <v>9.302500000000002</v>
      </c>
      <c r="L91" s="639">
        <f t="shared" si="17"/>
        <v>9.8649500000000003</v>
      </c>
      <c r="M91" s="639">
        <f t="shared" si="18"/>
        <v>9.302500000000002</v>
      </c>
      <c r="N91" s="640">
        <f t="shared" si="19"/>
        <v>0.65395366501297758</v>
      </c>
      <c r="O91" s="639">
        <f t="shared" si="20"/>
        <v>1</v>
      </c>
      <c r="P91" s="641">
        <f t="shared" si="21"/>
        <v>407.84241365539668</v>
      </c>
      <c r="Q91" s="641">
        <f t="shared" si="22"/>
        <v>233.80823179815513</v>
      </c>
      <c r="R91" s="639">
        <f t="shared" si="23"/>
        <v>2.4848608892666455</v>
      </c>
      <c r="S91" s="641">
        <f t="shared" si="24"/>
        <v>342.2683316120424</v>
      </c>
      <c r="T91" s="643">
        <f t="shared" si="25"/>
        <v>4846.5273489382971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548">
        <f t="shared" si="26"/>
        <v>0</v>
      </c>
      <c r="I92" s="48">
        <f>IF(Weather_Site!M90&lt;180,Weather_Site!M90+180,Weather_Site!M90-180)</f>
        <v>344</v>
      </c>
      <c r="J92" s="639">
        <f t="shared" si="15"/>
        <v>6.51647</v>
      </c>
      <c r="K92" s="639">
        <f t="shared" si="16"/>
        <v>8.2143000000000015</v>
      </c>
      <c r="L92" s="639">
        <f t="shared" si="17"/>
        <v>8.6006300000000007</v>
      </c>
      <c r="M92" s="639">
        <f t="shared" si="18"/>
        <v>8.2143000000000015</v>
      </c>
      <c r="N92" s="640">
        <f t="shared" si="19"/>
        <v>0.78762684612181166</v>
      </c>
      <c r="O92" s="639">
        <f t="shared" si="20"/>
        <v>1</v>
      </c>
      <c r="P92" s="641">
        <f t="shared" si="21"/>
        <v>685.75686554761421</v>
      </c>
      <c r="Q92" s="641">
        <f t="shared" si="22"/>
        <v>263.78948973337396</v>
      </c>
      <c r="R92" s="639">
        <f t="shared" si="23"/>
        <v>3.6179879204672827</v>
      </c>
      <c r="S92" s="641">
        <f t="shared" si="24"/>
        <v>1054.9097655171818</v>
      </c>
      <c r="T92" s="643">
        <f t="shared" si="25"/>
        <v>8149.0774189241492</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548">
        <f t="shared" si="26"/>
        <v>0</v>
      </c>
      <c r="I93" s="48">
        <f>IF(Weather_Site!M91&lt;180,Weather_Site!M91+180,Weather_Site!M91-180)</f>
        <v>345</v>
      </c>
      <c r="J93" s="639">
        <f t="shared" si="15"/>
        <v>5.9545299999999992</v>
      </c>
      <c r="K93" s="639">
        <f t="shared" si="16"/>
        <v>7.4055</v>
      </c>
      <c r="L93" s="639">
        <f t="shared" si="17"/>
        <v>7.6627699999999992</v>
      </c>
      <c r="M93" s="639">
        <f t="shared" si="18"/>
        <v>7.4055</v>
      </c>
      <c r="N93" s="640">
        <f t="shared" si="19"/>
        <v>0.91964389094890797</v>
      </c>
      <c r="O93" s="639">
        <f t="shared" si="20"/>
        <v>1</v>
      </c>
      <c r="P93" s="641">
        <f t="shared" si="21"/>
        <v>711.37226872806707</v>
      </c>
      <c r="Q93" s="641">
        <f t="shared" si="22"/>
        <v>297.51068637099041</v>
      </c>
      <c r="R93" s="639">
        <f t="shared" si="23"/>
        <v>3.7151997170214415</v>
      </c>
      <c r="S93" s="641">
        <f t="shared" si="24"/>
        <v>1174.2392626408146</v>
      </c>
      <c r="T93" s="643">
        <f t="shared" si="25"/>
        <v>8453.4737933851975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26"/>
        <v>0</v>
      </c>
      <c r="I94" s="27">
        <f>IF(Weather_Site!M92&lt;180,Weather_Site!M92+180,Weather_Site!M92-180)</f>
        <v>350</v>
      </c>
      <c r="J94" s="635">
        <f t="shared" si="15"/>
        <v>5.4515399999999987</v>
      </c>
      <c r="K94" s="635">
        <f t="shared" si="16"/>
        <v>6.6868000000000007</v>
      </c>
      <c r="L94" s="635">
        <f t="shared" si="17"/>
        <v>6.8282600000000002</v>
      </c>
      <c r="M94" s="635">
        <f t="shared" si="18"/>
        <v>6.6868000000000007</v>
      </c>
      <c r="N94" s="636">
        <f t="shared" si="19"/>
        <v>1.0712777594282452</v>
      </c>
      <c r="O94" s="635">
        <f t="shared" si="20"/>
        <v>1</v>
      </c>
      <c r="P94" s="637">
        <f t="shared" si="21"/>
        <v>775.79894552119436</v>
      </c>
      <c r="Q94" s="637">
        <f t="shared" si="22"/>
        <v>358.78895559964735</v>
      </c>
      <c r="R94" s="635">
        <f t="shared" si="23"/>
        <v>3.9555305627069024</v>
      </c>
      <c r="S94" s="637">
        <f t="shared" si="24"/>
        <v>1375.5326969003227</v>
      </c>
      <c r="T94" s="644">
        <f t="shared" si="25"/>
        <v>9219.0774692768591</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26"/>
        <v>0</v>
      </c>
      <c r="I95" s="27">
        <f>IF(Weather_Site!M93&lt;180,Weather_Site!M93+180,Weather_Site!M93-180)</f>
        <v>14</v>
      </c>
      <c r="J95" s="635">
        <f t="shared" si="15"/>
        <v>4.9628199999999998</v>
      </c>
      <c r="K95" s="635">
        <f t="shared" si="16"/>
        <v>5.9894999999999996</v>
      </c>
      <c r="L95" s="635">
        <f t="shared" si="17"/>
        <v>6.0183800000000005</v>
      </c>
      <c r="M95" s="635">
        <f t="shared" si="18"/>
        <v>4.9628199999999998</v>
      </c>
      <c r="N95" s="636">
        <f t="shared" si="19"/>
        <v>1.6729746284844749</v>
      </c>
      <c r="O95" s="635">
        <f t="shared" si="20"/>
        <v>1</v>
      </c>
      <c r="P95" s="637">
        <f t="shared" si="21"/>
        <v>1294.0963004294169</v>
      </c>
      <c r="Q95" s="637">
        <f t="shared" si="22"/>
        <v>560.30736605510333</v>
      </c>
      <c r="R95" s="635">
        <f t="shared" si="23"/>
        <v>5.7262187196849448</v>
      </c>
      <c r="S95" s="637">
        <f t="shared" si="24"/>
        <v>2558.6270782735837</v>
      </c>
      <c r="T95" s="644">
        <f t="shared" si="25"/>
        <v>15378.17770343624</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26"/>
        <v>0</v>
      </c>
      <c r="I96" s="27">
        <f>IF(Weather_Site!M94&lt;180,Weather_Site!M94+180,Weather_Site!M94-180)</f>
        <v>18</v>
      </c>
      <c r="J96" s="635">
        <f t="shared" si="15"/>
        <v>4.4722299999999997</v>
      </c>
      <c r="K96" s="635">
        <f t="shared" si="16"/>
        <v>5.287700000000001</v>
      </c>
      <c r="L96" s="635">
        <f t="shared" si="17"/>
        <v>5.2036700000000007</v>
      </c>
      <c r="M96" s="635">
        <f t="shared" si="18"/>
        <v>4.4722299999999997</v>
      </c>
      <c r="N96" s="636">
        <f t="shared" si="19"/>
        <v>1.9546541348288098</v>
      </c>
      <c r="O96" s="635">
        <f t="shared" si="20"/>
        <v>1</v>
      </c>
      <c r="P96" s="637">
        <f t="shared" si="21"/>
        <v>1511.983888717114</v>
      </c>
      <c r="Q96" s="637">
        <f t="shared" si="22"/>
        <v>632.34312650169215</v>
      </c>
      <c r="R96" s="635">
        <f t="shared" si="23"/>
        <v>6.4080911841686863</v>
      </c>
      <c r="S96" s="637">
        <f t="shared" si="24"/>
        <v>3000.0073419842829</v>
      </c>
      <c r="T96" s="644">
        <f t="shared" si="25"/>
        <v>17967.408544255039</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26"/>
        <v>0</v>
      </c>
      <c r="I97" s="27">
        <f>IF(Weather_Site!M95&lt;180,Weather_Site!M95+180,Weather_Site!M95-180)</f>
        <v>20</v>
      </c>
      <c r="J97" s="635">
        <f t="shared" si="15"/>
        <v>4.1206000000000005</v>
      </c>
      <c r="K97" s="635">
        <f t="shared" si="16"/>
        <v>4.7908999999999997</v>
      </c>
      <c r="L97" s="635">
        <f t="shared" si="17"/>
        <v>4.6256000000000013</v>
      </c>
      <c r="M97" s="635">
        <f t="shared" si="18"/>
        <v>4.1206000000000005</v>
      </c>
      <c r="N97" s="636">
        <f t="shared" si="19"/>
        <v>2.2092131148394993</v>
      </c>
      <c r="O97" s="635">
        <f t="shared" si="20"/>
        <v>1</v>
      </c>
      <c r="P97" s="637">
        <f t="shared" si="21"/>
        <v>1599.8700522251206</v>
      </c>
      <c r="Q97" s="637">
        <f t="shared" si="22"/>
        <v>764.95553292031616</v>
      </c>
      <c r="R97" s="635">
        <f t="shared" si="23"/>
        <v>6.6752775573147209</v>
      </c>
      <c r="S97" s="637">
        <f t="shared" si="24"/>
        <v>3213.1263537452805</v>
      </c>
      <c r="T97" s="644">
        <f t="shared" si="25"/>
        <v>19011.789120608515</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26"/>
        <v>0</v>
      </c>
      <c r="I98" s="27">
        <f>IF(Weather_Site!M96&lt;180,Weather_Site!M96+180,Weather_Site!M96-180)</f>
        <v>22</v>
      </c>
      <c r="J98" s="635">
        <f t="shared" si="15"/>
        <v>3.9624499999999996</v>
      </c>
      <c r="K98" s="635">
        <f t="shared" si="16"/>
        <v>4.5655999999999999</v>
      </c>
      <c r="L98" s="635">
        <f t="shared" si="17"/>
        <v>4.3638500000000011</v>
      </c>
      <c r="M98" s="635">
        <f t="shared" si="18"/>
        <v>3.9624499999999996</v>
      </c>
      <c r="N98" s="636">
        <f t="shared" si="19"/>
        <v>2.3423275363799361</v>
      </c>
      <c r="O98" s="635">
        <f t="shared" si="20"/>
        <v>1</v>
      </c>
      <c r="P98" s="637">
        <f t="shared" si="21"/>
        <v>1926.1958473924071</v>
      </c>
      <c r="Q98" s="637">
        <f t="shared" si="22"/>
        <v>811.04733483153302</v>
      </c>
      <c r="R98" s="635">
        <f t="shared" si="23"/>
        <v>7.6340412708865175</v>
      </c>
      <c r="S98" s="637">
        <f t="shared" si="24"/>
        <v>3717.5743425050005</v>
      </c>
      <c r="T98" s="644">
        <f t="shared" si="25"/>
        <v>22889.627319846441</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548">
        <f t="shared" si="26"/>
        <v>0</v>
      </c>
      <c r="I99" s="48">
        <f>IF(Weather_Site!M97&lt;180,Weather_Site!M97+180,Weather_Site!M97-180)</f>
        <v>23</v>
      </c>
      <c r="J99" s="639">
        <f t="shared" si="15"/>
        <v>3.8099099999999999</v>
      </c>
      <c r="K99" s="639">
        <f t="shared" si="16"/>
        <v>4.3537999999999997</v>
      </c>
      <c r="L99" s="639">
        <f t="shared" si="17"/>
        <v>4.1165900000000004</v>
      </c>
      <c r="M99" s="639">
        <f t="shared" si="18"/>
        <v>3.8099099999999999</v>
      </c>
      <c r="N99" s="640">
        <f t="shared" si="19"/>
        <v>2.4839108032908506</v>
      </c>
      <c r="O99" s="639">
        <f t="shared" si="20"/>
        <v>1</v>
      </c>
      <c r="P99" s="641">
        <f t="shared" si="21"/>
        <v>2042.6258071432703</v>
      </c>
      <c r="Q99" s="641">
        <f t="shared" si="22"/>
        <v>915.91643253397092</v>
      </c>
      <c r="R99" s="639">
        <f t="shared" si="23"/>
        <v>7.9649416158161799</v>
      </c>
      <c r="S99" s="641">
        <f t="shared" si="24"/>
        <v>3915.9405864979935</v>
      </c>
      <c r="T99" s="643">
        <f t="shared" si="25"/>
        <v>24273.203341552529</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548">
        <f t="shared" si="26"/>
        <v>0</v>
      </c>
      <c r="I100" s="48">
        <f>IF(Weather_Site!M98&lt;180,Weather_Site!M98+180,Weather_Site!M98-180)</f>
        <v>24</v>
      </c>
      <c r="J100" s="639">
        <f t="shared" si="15"/>
        <v>3.8973999999999998</v>
      </c>
      <c r="K100" s="639">
        <f t="shared" si="16"/>
        <v>4.4866999999999999</v>
      </c>
      <c r="L100" s="639">
        <f t="shared" si="17"/>
        <v>4.2692000000000005</v>
      </c>
      <c r="M100" s="639">
        <f t="shared" si="18"/>
        <v>4.4866999999999999</v>
      </c>
      <c r="N100" s="640">
        <f t="shared" si="19"/>
        <v>1.9452372853247424</v>
      </c>
      <c r="O100" s="639">
        <f t="shared" si="20"/>
        <v>1</v>
      </c>
      <c r="P100" s="641">
        <f t="shared" si="21"/>
        <v>1786.7509701374693</v>
      </c>
      <c r="Q100" s="641">
        <f t="shared" si="22"/>
        <v>673.55205084420436</v>
      </c>
      <c r="R100" s="639">
        <f t="shared" si="23"/>
        <v>7.2303342544572065</v>
      </c>
      <c r="S100" s="641">
        <f t="shared" si="24"/>
        <v>3392.6143548709624</v>
      </c>
      <c r="T100" s="643">
        <f t="shared" si="25"/>
        <v>21232.55736180026</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548">
        <f t="shared" si="26"/>
        <v>0</v>
      </c>
      <c r="I101" s="48">
        <f>IF(Weather_Site!M99&lt;180,Weather_Site!M99+180,Weather_Site!M99-180)</f>
        <v>24</v>
      </c>
      <c r="J101" s="639">
        <f t="shared" si="15"/>
        <v>3.9334199999999999</v>
      </c>
      <c r="K101" s="639">
        <f t="shared" si="16"/>
        <v>4.5475000000000003</v>
      </c>
      <c r="L101" s="639">
        <f t="shared" si="17"/>
        <v>4.3377800000000004</v>
      </c>
      <c r="M101" s="639">
        <f t="shared" si="18"/>
        <v>4.5475000000000003</v>
      </c>
      <c r="N101" s="640">
        <f t="shared" si="19"/>
        <v>1.9064845918041853</v>
      </c>
      <c r="O101" s="639">
        <f t="shared" si="20"/>
        <v>1</v>
      </c>
      <c r="P101" s="641">
        <f t="shared" si="21"/>
        <v>1567.7836027690248</v>
      </c>
      <c r="Q101" s="641">
        <f t="shared" si="22"/>
        <v>616.75997094715888</v>
      </c>
      <c r="R101" s="639">
        <f t="shared" si="23"/>
        <v>6.5782132321767595</v>
      </c>
      <c r="S101" s="641">
        <f t="shared" si="24"/>
        <v>3067.5574469520534</v>
      </c>
      <c r="T101" s="643">
        <f t="shared" si="25"/>
        <v>18630.495146238576</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548">
        <f t="shared" si="26"/>
        <v>0</v>
      </c>
      <c r="I102" s="48">
        <f>IF(Weather_Site!M100&lt;180,Weather_Site!M100+180,Weather_Site!M100-180)</f>
        <v>24</v>
      </c>
      <c r="J102" s="639">
        <f t="shared" si="15"/>
        <v>4.1474700000000002</v>
      </c>
      <c r="K102" s="639">
        <f t="shared" si="16"/>
        <v>4.8685000000000009</v>
      </c>
      <c r="L102" s="639">
        <f t="shared" si="17"/>
        <v>4.70723</v>
      </c>
      <c r="M102" s="639">
        <f t="shared" si="18"/>
        <v>4.70723</v>
      </c>
      <c r="N102" s="640">
        <f t="shared" si="19"/>
        <v>1.8105861606350657</v>
      </c>
      <c r="O102" s="639">
        <f t="shared" si="20"/>
        <v>1</v>
      </c>
      <c r="P102" s="641">
        <f t="shared" si="21"/>
        <v>1311.1920058394867</v>
      </c>
      <c r="Q102" s="641">
        <f t="shared" si="22"/>
        <v>544.00827937891779</v>
      </c>
      <c r="R102" s="639">
        <f t="shared" si="23"/>
        <v>5.7808115692953921</v>
      </c>
      <c r="S102" s="641">
        <f t="shared" si="24"/>
        <v>2633.7549401770102</v>
      </c>
      <c r="T102" s="643">
        <f t="shared" si="25"/>
        <v>15581.331669392564</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548">
        <f t="shared" si="26"/>
        <v>0</v>
      </c>
      <c r="I103" s="48">
        <f>IF(Weather_Site!M101&lt;180,Weather_Site!M101+180,Weather_Site!M101-180)</f>
        <v>18</v>
      </c>
      <c r="J103" s="639">
        <f t="shared" si="15"/>
        <v>4.6071600000000004</v>
      </c>
      <c r="K103" s="639">
        <f t="shared" si="16"/>
        <v>5.5477000000000007</v>
      </c>
      <c r="L103" s="639">
        <f t="shared" si="17"/>
        <v>5.4910400000000008</v>
      </c>
      <c r="M103" s="639">
        <f t="shared" si="18"/>
        <v>5.4910400000000008</v>
      </c>
      <c r="N103" s="640">
        <f t="shared" si="19"/>
        <v>1.4382019050619206</v>
      </c>
      <c r="O103" s="639">
        <f t="shared" si="20"/>
        <v>1</v>
      </c>
      <c r="P103" s="641">
        <f t="shared" si="21"/>
        <v>896.94387793147882</v>
      </c>
      <c r="Q103" s="641">
        <f t="shared" si="22"/>
        <v>415.37433917405593</v>
      </c>
      <c r="R103" s="639">
        <f t="shared" si="23"/>
        <v>4.3930421873895336</v>
      </c>
      <c r="S103" s="641">
        <f t="shared" si="24"/>
        <v>1757.6195672393951</v>
      </c>
      <c r="T103" s="643">
        <f t="shared" si="25"/>
        <v>10658.683082752406</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26"/>
        <v>0</v>
      </c>
      <c r="I104" s="27">
        <f>IF(Weather_Site!M102&lt;180,Weather_Site!M102+180,Weather_Site!M102-180)</f>
        <v>11</v>
      </c>
      <c r="J104" s="635">
        <f t="shared" si="15"/>
        <v>5.172839999999999</v>
      </c>
      <c r="K104" s="635">
        <f t="shared" si="16"/>
        <v>6.3655000000000008</v>
      </c>
      <c r="L104" s="635">
        <f t="shared" si="17"/>
        <v>6.4385600000000007</v>
      </c>
      <c r="M104" s="635">
        <f t="shared" si="18"/>
        <v>6.4385600000000007</v>
      </c>
      <c r="N104" s="636">
        <f t="shared" si="19"/>
        <v>1.1336117028233204</v>
      </c>
      <c r="O104" s="635">
        <f t="shared" si="20"/>
        <v>1</v>
      </c>
      <c r="P104" s="637">
        <f t="shared" si="21"/>
        <v>648.8164446574649</v>
      </c>
      <c r="Q104" s="637">
        <f t="shared" si="22"/>
        <v>300.69938422915942</v>
      </c>
      <c r="R104" s="635">
        <f t="shared" si="23"/>
        <v>3.476003302789024</v>
      </c>
      <c r="S104" s="637">
        <f t="shared" si="24"/>
        <v>1118.3151958072267</v>
      </c>
      <c r="T104" s="644">
        <f t="shared" si="25"/>
        <v>7710.1020840128749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26"/>
        <v>0</v>
      </c>
      <c r="I105" s="27">
        <f>IF(Weather_Site!M103&lt;180,Weather_Site!M103+180,Weather_Site!M103-180)</f>
        <v>5</v>
      </c>
      <c r="J105" s="635">
        <f t="shared" si="15"/>
        <v>5.6175699999999997</v>
      </c>
      <c r="K105" s="635">
        <f t="shared" si="16"/>
        <v>7.008700000000001</v>
      </c>
      <c r="L105" s="635">
        <f t="shared" si="17"/>
        <v>7.1837300000000006</v>
      </c>
      <c r="M105" s="635">
        <f t="shared" si="18"/>
        <v>7.1837300000000006</v>
      </c>
      <c r="N105" s="636">
        <f t="shared" si="19"/>
        <v>0.96241026424941845</v>
      </c>
      <c r="O105" s="635">
        <f t="shared" si="20"/>
        <v>1</v>
      </c>
      <c r="P105" s="637">
        <f t="shared" si="21"/>
        <v>449.58880980079272</v>
      </c>
      <c r="Q105" s="637">
        <f t="shared" si="22"/>
        <v>255.28686155485704</v>
      </c>
      <c r="R105" s="635">
        <f t="shared" si="23"/>
        <v>2.6662550148443875</v>
      </c>
      <c r="S105" s="637">
        <f t="shared" si="24"/>
        <v>559.66464832758174</v>
      </c>
      <c r="T105" s="644">
        <f t="shared" si="25"/>
        <v>5342.6136897994202</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26"/>
        <v>0</v>
      </c>
      <c r="I106" s="27">
        <f>IF(Weather_Site!M104&lt;180,Weather_Site!M104+180,Weather_Site!M104-180)</f>
        <v>355</v>
      </c>
      <c r="J106" s="635">
        <f t="shared" si="15"/>
        <v>5.6945300000000003</v>
      </c>
      <c r="K106" s="635">
        <f t="shared" si="16"/>
        <v>7.1292000000000009</v>
      </c>
      <c r="L106" s="635">
        <f t="shared" si="17"/>
        <v>7.3213699999999999</v>
      </c>
      <c r="M106" s="635">
        <f t="shared" si="18"/>
        <v>7.3213699999999999</v>
      </c>
      <c r="N106" s="636">
        <f t="shared" si="19"/>
        <v>0.93548736571699109</v>
      </c>
      <c r="O106" s="635">
        <f t="shared" si="20"/>
        <v>1</v>
      </c>
      <c r="P106" s="637">
        <f t="shared" si="21"/>
        <v>437.01180978612479</v>
      </c>
      <c r="Q106" s="637">
        <f t="shared" si="22"/>
        <v>270.18281993142239</v>
      </c>
      <c r="R106" s="635">
        <f t="shared" si="23"/>
        <v>2.6121171355458253</v>
      </c>
      <c r="S106" s="637">
        <f t="shared" si="24"/>
        <v>517.32722418047706</v>
      </c>
      <c r="T106" s="644">
        <f t="shared" si="25"/>
        <v>5193.1570062917835</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26"/>
        <v>0</v>
      </c>
      <c r="I107" s="27">
        <f>IF(Weather_Site!M105&lt;180,Weather_Site!M105+180,Weather_Site!M105-180)</f>
        <v>357</v>
      </c>
      <c r="J107" s="635">
        <f t="shared" si="15"/>
        <v>5.8266999999999998</v>
      </c>
      <c r="K107" s="635">
        <f t="shared" si="16"/>
        <v>7.3308</v>
      </c>
      <c r="L107" s="635">
        <f t="shared" si="17"/>
        <v>7.5527000000000006</v>
      </c>
      <c r="M107" s="635">
        <f t="shared" si="18"/>
        <v>7.5527000000000006</v>
      </c>
      <c r="N107" s="636">
        <f t="shared" si="19"/>
        <v>0.89297778971971931</v>
      </c>
      <c r="O107" s="635">
        <f t="shared" si="20"/>
        <v>1</v>
      </c>
      <c r="P107" s="637">
        <f t="shared" si="21"/>
        <v>511.09094343420782</v>
      </c>
      <c r="Q107" s="637">
        <f t="shared" si="22"/>
        <v>257.90541508562933</v>
      </c>
      <c r="R107" s="635">
        <f t="shared" si="23"/>
        <v>2.925231703997921</v>
      </c>
      <c r="S107" s="637">
        <f t="shared" si="24"/>
        <v>699.67963646194585</v>
      </c>
      <c r="T107" s="644">
        <f t="shared" si="25"/>
        <v>6073.4640444765027</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26"/>
        <v>0</v>
      </c>
      <c r="I108" s="27">
        <f>IF(Weather_Site!M106&lt;180,Weather_Site!M106+180,Weather_Site!M106-180)</f>
        <v>0</v>
      </c>
      <c r="J108" s="635">
        <f t="shared" si="15"/>
        <v>6.08474</v>
      </c>
      <c r="K108" s="635">
        <f t="shared" si="16"/>
        <v>7.7059000000000015</v>
      </c>
      <c r="L108" s="635">
        <f t="shared" si="17"/>
        <v>7.9868600000000001</v>
      </c>
      <c r="M108" s="635">
        <f t="shared" si="18"/>
        <v>7.9868600000000001</v>
      </c>
      <c r="N108" s="636">
        <f t="shared" si="19"/>
        <v>0.82139351612591027</v>
      </c>
      <c r="O108" s="635">
        <f t="shared" si="20"/>
        <v>1</v>
      </c>
      <c r="P108" s="637">
        <f t="shared" si="21"/>
        <v>470.1200768042599</v>
      </c>
      <c r="Q108" s="637">
        <f t="shared" si="22"/>
        <v>237.23080032213193</v>
      </c>
      <c r="R108" s="635">
        <f t="shared" si="23"/>
        <v>2.7537407098718498</v>
      </c>
      <c r="S108" s="637">
        <f t="shared" si="24"/>
        <v>568.91600656331411</v>
      </c>
      <c r="T108" s="644">
        <f t="shared" si="25"/>
        <v>5586.593579357288</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26"/>
        <v>0</v>
      </c>
      <c r="I109" s="27">
        <f>IF(Weather_Site!M107&lt;180,Weather_Site!M107+180,Weather_Site!M107-180)</f>
        <v>353</v>
      </c>
      <c r="J109" s="635">
        <f t="shared" si="15"/>
        <v>6.8673200000000003</v>
      </c>
      <c r="K109" s="635">
        <f t="shared" si="16"/>
        <v>8.7998000000000012</v>
      </c>
      <c r="L109" s="635">
        <f t="shared" si="17"/>
        <v>9.2622800000000023</v>
      </c>
      <c r="M109" s="635">
        <f t="shared" si="18"/>
        <v>9.2622800000000023</v>
      </c>
      <c r="N109" s="636">
        <f t="shared" si="19"/>
        <v>0.65820356284576365</v>
      </c>
      <c r="O109" s="635">
        <f t="shared" si="20"/>
        <v>1</v>
      </c>
      <c r="P109" s="637">
        <f t="shared" si="21"/>
        <v>376.71920150688783</v>
      </c>
      <c r="Q109" s="637">
        <f t="shared" si="22"/>
        <v>190.09908761544659</v>
      </c>
      <c r="R109" s="635">
        <f t="shared" si="23"/>
        <v>2.3462642427987861</v>
      </c>
      <c r="S109" s="637">
        <f t="shared" si="24"/>
        <v>262.05460070887011</v>
      </c>
      <c r="T109" s="644">
        <f t="shared" si="25"/>
        <v>4476.6798445735167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26"/>
        <v>0</v>
      </c>
      <c r="I110" s="27">
        <f>IF(Weather_Site!M108&lt;180,Weather_Site!M108+180,Weather_Site!M108-180)</f>
        <v>351</v>
      </c>
      <c r="J110" s="635">
        <f t="shared" si="15"/>
        <v>7.8054899999999989</v>
      </c>
      <c r="K110" s="635">
        <f t="shared" si="16"/>
        <v>10.099900000000002</v>
      </c>
      <c r="L110" s="635">
        <f t="shared" si="17"/>
        <v>10.780610000000001</v>
      </c>
      <c r="M110" s="635">
        <f t="shared" si="18"/>
        <v>10.780610000000001</v>
      </c>
      <c r="N110" s="636">
        <f t="shared" si="19"/>
        <v>0.52456790038646761</v>
      </c>
      <c r="O110" s="635">
        <f t="shared" si="20"/>
        <v>1</v>
      </c>
      <c r="P110" s="637">
        <f t="shared" si="21"/>
        <v>300.23356257043184</v>
      </c>
      <c r="Q110" s="637">
        <f t="shared" si="22"/>
        <v>163.67675448032526</v>
      </c>
      <c r="R110" s="635">
        <f t="shared" si="23"/>
        <v>1.9912193960295945</v>
      </c>
      <c r="S110" s="637">
        <f t="shared" si="24"/>
        <v>50</v>
      </c>
      <c r="T110" s="644">
        <f t="shared" si="25"/>
        <v>3567.7755018786315</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26"/>
        <v>0</v>
      </c>
      <c r="I111" s="27">
        <f>IF(Weather_Site!M109&lt;180,Weather_Site!M109+180,Weather_Site!M109-180)</f>
        <v>348</v>
      </c>
      <c r="J111" s="635">
        <f t="shared" si="15"/>
        <v>8.53965</v>
      </c>
      <c r="K111" s="635">
        <f t="shared" si="16"/>
        <v>11.116100000000001</v>
      </c>
      <c r="L111" s="635">
        <f t="shared" si="17"/>
        <v>11.967650000000001</v>
      </c>
      <c r="M111" s="635">
        <f t="shared" si="18"/>
        <v>11.967650000000001</v>
      </c>
      <c r="N111" s="636">
        <f t="shared" si="19"/>
        <v>0.44872495512907629</v>
      </c>
      <c r="O111" s="635">
        <f t="shared" si="20"/>
        <v>1</v>
      </c>
      <c r="P111" s="637">
        <f t="shared" si="21"/>
        <v>302.54992466437039</v>
      </c>
      <c r="Q111" s="637">
        <f t="shared" si="22"/>
        <v>145.16539576476148</v>
      </c>
      <c r="R111" s="635">
        <f t="shared" si="23"/>
        <v>2.0023147669208279</v>
      </c>
      <c r="S111" s="637">
        <f t="shared" si="24"/>
        <v>50</v>
      </c>
      <c r="T111" s="644">
        <f t="shared" si="25"/>
        <v>3595.3016047616015</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26"/>
        <v>0</v>
      </c>
      <c r="I112" s="27">
        <f>IF(Weather_Site!M110&lt;180,Weather_Site!M110+180,Weather_Site!M110-180)</f>
        <v>354</v>
      </c>
      <c r="J112" s="635">
        <f t="shared" si="15"/>
        <v>8.8596899999999987</v>
      </c>
      <c r="K112" s="635">
        <f t="shared" si="16"/>
        <v>11.575700000000001</v>
      </c>
      <c r="L112" s="635">
        <f t="shared" si="17"/>
        <v>12.50081</v>
      </c>
      <c r="M112" s="635">
        <f t="shared" si="18"/>
        <v>11.575700000000001</v>
      </c>
      <c r="N112" s="636">
        <f t="shared" si="19"/>
        <v>0.47162882414839097</v>
      </c>
      <c r="O112" s="635">
        <f t="shared" si="20"/>
        <v>1</v>
      </c>
      <c r="P112" s="637">
        <f t="shared" si="21"/>
        <v>341.54460991237443</v>
      </c>
      <c r="Q112" s="637">
        <f t="shared" si="22"/>
        <v>163.30478761584985</v>
      </c>
      <c r="R112" s="635">
        <f t="shared" si="23"/>
        <v>2.1857404015274349</v>
      </c>
      <c r="S112" s="637">
        <f t="shared" si="24"/>
        <v>91.396061270756036</v>
      </c>
      <c r="T112" s="644">
        <f t="shared" si="25"/>
        <v>4058.6884477920494</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26"/>
        <v>0</v>
      </c>
      <c r="I113" s="27">
        <f>IF(Weather_Site!M111&lt;180,Weather_Site!M111+180,Weather_Site!M111-180)</f>
        <v>336</v>
      </c>
      <c r="J113" s="635">
        <f t="shared" si="15"/>
        <v>8.443010000000001</v>
      </c>
      <c r="K113" s="635">
        <f t="shared" si="16"/>
        <v>11</v>
      </c>
      <c r="L113" s="635">
        <f t="shared" si="17"/>
        <v>11.82809</v>
      </c>
      <c r="M113" s="635">
        <f t="shared" si="18"/>
        <v>11</v>
      </c>
      <c r="N113" s="636">
        <f t="shared" si="19"/>
        <v>0.50900427913568025</v>
      </c>
      <c r="O113" s="635">
        <f t="shared" si="20"/>
        <v>1</v>
      </c>
      <c r="P113" s="637">
        <f t="shared" si="21"/>
        <v>418.57593079889443</v>
      </c>
      <c r="Q113" s="637">
        <f t="shared" si="22"/>
        <v>204.62558916373115</v>
      </c>
      <c r="R113" s="635">
        <f t="shared" si="23"/>
        <v>2.5319718192662224</v>
      </c>
      <c r="S113" s="637">
        <f t="shared" si="24"/>
        <v>298.93546478004191</v>
      </c>
      <c r="T113" s="644">
        <f t="shared" si="25"/>
        <v>4974.077310993528</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26"/>
        <v>0</v>
      </c>
      <c r="I114" s="27">
        <f>IF(Weather_Site!M112&lt;180,Weather_Site!M112+180,Weather_Site!M112-180)</f>
        <v>337</v>
      </c>
      <c r="J114" s="635">
        <f t="shared" si="15"/>
        <v>7.532</v>
      </c>
      <c r="K114" s="635">
        <f t="shared" si="16"/>
        <v>9.7134999999999998</v>
      </c>
      <c r="L114" s="635">
        <f t="shared" si="17"/>
        <v>10.331000000000001</v>
      </c>
      <c r="M114" s="635">
        <f t="shared" si="18"/>
        <v>9.7134999999999998</v>
      </c>
      <c r="N114" s="636">
        <f t="shared" si="19"/>
        <v>0.6130229866843161</v>
      </c>
      <c r="O114" s="635">
        <f t="shared" si="20"/>
        <v>1</v>
      </c>
      <c r="P114" s="637">
        <f t="shared" si="21"/>
        <v>649.61327772793788</v>
      </c>
      <c r="Q114" s="637">
        <f t="shared" si="22"/>
        <v>198.3168608247492</v>
      </c>
      <c r="R114" s="635">
        <f t="shared" si="23"/>
        <v>3.4790892617008322</v>
      </c>
      <c r="S114" s="637">
        <f t="shared" si="24"/>
        <v>875.74918825582154</v>
      </c>
      <c r="T114" s="644">
        <f t="shared" si="25"/>
        <v>7719.5711170003287</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26"/>
        <v>0</v>
      </c>
      <c r="I115" s="27">
        <f>IF(Weather_Site!M113&lt;180,Weather_Site!M113+180,Weather_Site!M113-180)</f>
        <v>341</v>
      </c>
      <c r="J115" s="635">
        <f t="shared" si="15"/>
        <v>6.9967300000000003</v>
      </c>
      <c r="K115" s="635">
        <f t="shared" si="16"/>
        <v>8.9429999999999996</v>
      </c>
      <c r="L115" s="635">
        <f t="shared" si="17"/>
        <v>9.4375700000000009</v>
      </c>
      <c r="M115" s="635">
        <f t="shared" si="18"/>
        <v>8.9429999999999996</v>
      </c>
      <c r="N115" s="636">
        <f t="shared" si="19"/>
        <v>0.69364309560811066</v>
      </c>
      <c r="O115" s="635">
        <f t="shared" si="20"/>
        <v>1</v>
      </c>
      <c r="P115" s="637">
        <f t="shared" si="21"/>
        <v>502.3231159284357</v>
      </c>
      <c r="Q115" s="637">
        <f t="shared" si="22"/>
        <v>263.50667732075652</v>
      </c>
      <c r="R115" s="635">
        <f t="shared" si="23"/>
        <v>2.8888627655159653</v>
      </c>
      <c r="S115" s="637">
        <f t="shared" si="24"/>
        <v>595.9574742424652</v>
      </c>
      <c r="T115" s="644">
        <f t="shared" si="25"/>
        <v>5969.2730276162456</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ref="H116:H147" si="27">C$4</f>
        <v>0</v>
      </c>
      <c r="I116" s="27">
        <f>IF(Weather_Site!M114&lt;180,Weather_Site!M114+180,Weather_Site!M114-180)</f>
        <v>343</v>
      </c>
      <c r="J116" s="635">
        <f t="shared" si="15"/>
        <v>6.1811799999999995</v>
      </c>
      <c r="K116" s="635">
        <f t="shared" si="16"/>
        <v>7.7827000000000011</v>
      </c>
      <c r="L116" s="635">
        <f t="shared" si="17"/>
        <v>8.0892199999999992</v>
      </c>
      <c r="M116" s="635">
        <f t="shared" si="18"/>
        <v>7.7827000000000011</v>
      </c>
      <c r="N116" s="636">
        <f t="shared" si="19"/>
        <v>0.85381486995306377</v>
      </c>
      <c r="O116" s="635">
        <f t="shared" si="20"/>
        <v>1</v>
      </c>
      <c r="P116" s="637">
        <f t="shared" si="21"/>
        <v>824.75665732515813</v>
      </c>
      <c r="Q116" s="637">
        <f t="shared" si="22"/>
        <v>305.26466278422959</v>
      </c>
      <c r="R116" s="635">
        <f t="shared" si="23"/>
        <v>4.1344682262407737</v>
      </c>
      <c r="S116" s="637">
        <f t="shared" si="24"/>
        <v>1368.8344076109252</v>
      </c>
      <c r="T116" s="644">
        <f t="shared" si="25"/>
        <v>9800.8582778806303</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27"/>
        <v>0</v>
      </c>
      <c r="I117" s="27">
        <f>IF(Weather_Site!M115&lt;180,Weather_Site!M115+180,Weather_Site!M115-180)</f>
        <v>339</v>
      </c>
      <c r="J117" s="635">
        <f t="shared" si="15"/>
        <v>5.7451099999999995</v>
      </c>
      <c r="K117" s="635">
        <f t="shared" si="16"/>
        <v>7.1474000000000002</v>
      </c>
      <c r="L117" s="635">
        <f t="shared" si="17"/>
        <v>7.3541900000000009</v>
      </c>
      <c r="M117" s="635">
        <f t="shared" si="18"/>
        <v>7.1474000000000002</v>
      </c>
      <c r="N117" s="636">
        <f t="shared" si="19"/>
        <v>0.96973284714604524</v>
      </c>
      <c r="O117" s="635">
        <f t="shared" si="20"/>
        <v>1</v>
      </c>
      <c r="P117" s="637">
        <f t="shared" si="21"/>
        <v>844.30966383615237</v>
      </c>
      <c r="Q117" s="637">
        <f t="shared" si="22"/>
        <v>346.70884871225252</v>
      </c>
      <c r="R117" s="635">
        <f t="shared" si="23"/>
        <v>4.2051051151589709</v>
      </c>
      <c r="S117" s="637">
        <f t="shared" si="24"/>
        <v>1467.1588550248844</v>
      </c>
      <c r="T117" s="644">
        <f t="shared" si="25"/>
        <v>10033.213171919611</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27"/>
        <v>0</v>
      </c>
      <c r="I118" s="27">
        <f>IF(Weather_Site!M116&lt;180,Weather_Site!M116+180,Weather_Site!M116-180)</f>
        <v>344</v>
      </c>
      <c r="J118" s="635">
        <f t="shared" si="15"/>
        <v>5.17638</v>
      </c>
      <c r="K118" s="635">
        <f t="shared" si="16"/>
        <v>6.3352000000000013</v>
      </c>
      <c r="L118" s="635">
        <f t="shared" si="17"/>
        <v>6.4110200000000006</v>
      </c>
      <c r="M118" s="635">
        <f t="shared" si="18"/>
        <v>6.3352000000000013</v>
      </c>
      <c r="N118" s="636">
        <f t="shared" si="19"/>
        <v>1.1613732119276041</v>
      </c>
      <c r="O118" s="635">
        <f t="shared" si="20"/>
        <v>1</v>
      </c>
      <c r="P118" s="637">
        <f t="shared" si="21"/>
        <v>1011.1636715583301</v>
      </c>
      <c r="Q118" s="637">
        <f t="shared" si="22"/>
        <v>415.22608047949177</v>
      </c>
      <c r="R118" s="635">
        <f t="shared" si="23"/>
        <v>4.7907333400046994</v>
      </c>
      <c r="S118" s="637">
        <f t="shared" si="24"/>
        <v>1868.3783504468129</v>
      </c>
      <c r="T118" s="644">
        <f t="shared" si="25"/>
        <v>12015.994963684821</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27"/>
        <v>0</v>
      </c>
      <c r="I119" s="27">
        <f>IF(Weather_Site!M117&lt;180,Weather_Site!M117+180,Weather_Site!M117-180)</f>
        <v>358</v>
      </c>
      <c r="J119" s="635">
        <f t="shared" si="15"/>
        <v>4.6628600000000002</v>
      </c>
      <c r="K119" s="635">
        <f t="shared" si="16"/>
        <v>5.6041000000000007</v>
      </c>
      <c r="L119" s="635">
        <f t="shared" si="17"/>
        <v>5.5615399999999999</v>
      </c>
      <c r="M119" s="635">
        <f t="shared" si="18"/>
        <v>4.6628600000000002</v>
      </c>
      <c r="N119" s="636">
        <f t="shared" si="19"/>
        <v>1.8364038531581377</v>
      </c>
      <c r="O119" s="635">
        <f t="shared" si="20"/>
        <v>1</v>
      </c>
      <c r="P119" s="637">
        <f t="shared" si="21"/>
        <v>1598.8872858030065</v>
      </c>
      <c r="Q119" s="637">
        <f t="shared" si="22"/>
        <v>656.56996931992489</v>
      </c>
      <c r="R119" s="635">
        <f t="shared" si="23"/>
        <v>6.6723126564063557</v>
      </c>
      <c r="S119" s="637">
        <f t="shared" si="24"/>
        <v>3087.9943709613835</v>
      </c>
      <c r="T119" s="644">
        <f t="shared" si="25"/>
        <v>19000.110579625725</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27"/>
        <v>0</v>
      </c>
      <c r="I120" s="27">
        <f>IF(Weather_Site!M118&lt;180,Weather_Site!M118+180,Weather_Site!M118-180)</f>
        <v>356</v>
      </c>
      <c r="J120" s="635">
        <f t="shared" si="15"/>
        <v>4.1561300000000001</v>
      </c>
      <c r="K120" s="635">
        <f t="shared" si="16"/>
        <v>4.8764000000000003</v>
      </c>
      <c r="L120" s="635">
        <f t="shared" si="17"/>
        <v>4.7173700000000007</v>
      </c>
      <c r="M120" s="635">
        <f t="shared" si="18"/>
        <v>4.1561300000000001</v>
      </c>
      <c r="N120" s="636">
        <f t="shared" si="19"/>
        <v>2.1810381299284418</v>
      </c>
      <c r="O120" s="635">
        <f t="shared" si="20"/>
        <v>1</v>
      </c>
      <c r="P120" s="637">
        <f t="shared" si="21"/>
        <v>1898.9472984371137</v>
      </c>
      <c r="Q120" s="637">
        <f t="shared" si="22"/>
        <v>730.4663854663437</v>
      </c>
      <c r="R120" s="635">
        <f t="shared" si="23"/>
        <v>7.5558080954230071</v>
      </c>
      <c r="S120" s="637">
        <f t="shared" si="24"/>
        <v>3628.0837437086175</v>
      </c>
      <c r="T120" s="644">
        <f t="shared" si="25"/>
        <v>22565.823729761036</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27"/>
        <v>0</v>
      </c>
      <c r="I121" s="27">
        <f>IF(Weather_Site!M119&lt;180,Weather_Site!M119+180,Weather_Site!M119-180)</f>
        <v>356</v>
      </c>
      <c r="J121" s="635">
        <f t="shared" si="15"/>
        <v>3.8912999999999998</v>
      </c>
      <c r="K121" s="635">
        <f t="shared" si="16"/>
        <v>4.4979000000000013</v>
      </c>
      <c r="L121" s="635">
        <f t="shared" si="17"/>
        <v>4.2779000000000007</v>
      </c>
      <c r="M121" s="635">
        <f t="shared" si="18"/>
        <v>3.8912999999999998</v>
      </c>
      <c r="N121" s="636">
        <f t="shared" si="19"/>
        <v>2.4066442642843677</v>
      </c>
      <c r="O121" s="635">
        <f t="shared" si="20"/>
        <v>1</v>
      </c>
      <c r="P121" s="637">
        <f t="shared" si="21"/>
        <v>1861.6118773309765</v>
      </c>
      <c r="Q121" s="637">
        <f t="shared" si="22"/>
        <v>833.31745288367927</v>
      </c>
      <c r="R121" s="635">
        <f t="shared" si="23"/>
        <v>7.4481074402010803</v>
      </c>
      <c r="S121" s="637">
        <f t="shared" si="24"/>
        <v>3649.4018985632983</v>
      </c>
      <c r="T121" s="644">
        <f t="shared" si="25"/>
        <v>22122.15447561644</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27"/>
        <v>0</v>
      </c>
      <c r="I122" s="27">
        <f>IF(Weather_Site!M120&lt;180,Weather_Site!M120+180,Weather_Site!M120-180)</f>
        <v>359</v>
      </c>
      <c r="J122" s="635">
        <f t="shared" si="15"/>
        <v>3.71888</v>
      </c>
      <c r="K122" s="635">
        <f t="shared" si="16"/>
        <v>4.2512000000000008</v>
      </c>
      <c r="L122" s="635">
        <f t="shared" si="17"/>
        <v>3.9915199999999995</v>
      </c>
      <c r="M122" s="635">
        <f t="shared" si="18"/>
        <v>3.71888</v>
      </c>
      <c r="N122" s="636">
        <f t="shared" si="19"/>
        <v>2.5753562357442119</v>
      </c>
      <c r="O122" s="635">
        <f t="shared" si="20"/>
        <v>1</v>
      </c>
      <c r="P122" s="637">
        <f t="shared" si="21"/>
        <v>2117.8252869422799</v>
      </c>
      <c r="Q122" s="637">
        <f t="shared" si="22"/>
        <v>891.73515607908985</v>
      </c>
      <c r="R122" s="635">
        <f t="shared" si="23"/>
        <v>8.1758826132052196</v>
      </c>
      <c r="S122" s="637">
        <f t="shared" si="24"/>
        <v>4041.1570435777303</v>
      </c>
      <c r="T122" s="644">
        <f t="shared" si="25"/>
        <v>25166.823826497428</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27"/>
        <v>0</v>
      </c>
      <c r="I123" s="27">
        <f>IF(Weather_Site!M121&lt;180,Weather_Site!M121+180,Weather_Site!M121-180)</f>
        <v>357</v>
      </c>
      <c r="J123" s="635">
        <f t="shared" si="15"/>
        <v>3.5663399999999994</v>
      </c>
      <c r="K123" s="635">
        <f t="shared" si="16"/>
        <v>4.0394000000000005</v>
      </c>
      <c r="L123" s="635">
        <f t="shared" si="17"/>
        <v>3.7442600000000006</v>
      </c>
      <c r="M123" s="635">
        <f t="shared" si="18"/>
        <v>3.5663399999999994</v>
      </c>
      <c r="N123" s="636">
        <f t="shared" si="19"/>
        <v>2.7417666814707085</v>
      </c>
      <c r="O123" s="635">
        <f t="shared" si="20"/>
        <v>1</v>
      </c>
      <c r="P123" s="637">
        <f t="shared" si="21"/>
        <v>2254.6716948603162</v>
      </c>
      <c r="Q123" s="637">
        <f t="shared" si="22"/>
        <v>1010.9981221572497</v>
      </c>
      <c r="R123" s="635">
        <f t="shared" si="23"/>
        <v>8.5545135560076009</v>
      </c>
      <c r="S123" s="637">
        <f t="shared" si="24"/>
        <v>4263.5978174911525</v>
      </c>
      <c r="T123" s="644">
        <f t="shared" si="25"/>
        <v>26793.015307256755</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27"/>
        <v>0</v>
      </c>
      <c r="I124" s="27">
        <f>IF(Weather_Site!M122&lt;180,Weather_Site!M122+180,Weather_Site!M122-180)</f>
        <v>353</v>
      </c>
      <c r="J124" s="635">
        <f t="shared" si="15"/>
        <v>3.60236</v>
      </c>
      <c r="K124" s="635">
        <f t="shared" si="16"/>
        <v>4.100200000000001</v>
      </c>
      <c r="L124" s="635">
        <f t="shared" si="17"/>
        <v>3.81284</v>
      </c>
      <c r="M124" s="635">
        <f t="shared" si="18"/>
        <v>4.100200000000001</v>
      </c>
      <c r="N124" s="636">
        <f t="shared" si="19"/>
        <v>2.2256658439666093</v>
      </c>
      <c r="O124" s="635">
        <f t="shared" si="20"/>
        <v>1</v>
      </c>
      <c r="P124" s="637">
        <f t="shared" si="21"/>
        <v>2044.3318848092547</v>
      </c>
      <c r="Q124" s="637">
        <f t="shared" si="22"/>
        <v>770.6524057538528</v>
      </c>
      <c r="R124" s="635">
        <f t="shared" si="23"/>
        <v>7.9697509023489808</v>
      </c>
      <c r="S124" s="637">
        <f t="shared" si="24"/>
        <v>3833.4652056634204</v>
      </c>
      <c r="T124" s="644">
        <f t="shared" si="25"/>
        <v>24293.477231149973</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27"/>
        <v>0</v>
      </c>
      <c r="I125" s="27">
        <f>IF(Weather_Site!M123&lt;180,Weather_Site!M123+180,Weather_Site!M123-180)</f>
        <v>356</v>
      </c>
      <c r="J125" s="635">
        <f t="shared" si="15"/>
        <v>3.6365099999999995</v>
      </c>
      <c r="K125" s="635">
        <f t="shared" si="16"/>
        <v>4.1565000000000003</v>
      </c>
      <c r="L125" s="635">
        <f t="shared" si="17"/>
        <v>3.8765900000000002</v>
      </c>
      <c r="M125" s="635">
        <f t="shared" si="18"/>
        <v>4.1565000000000003</v>
      </c>
      <c r="N125" s="636">
        <f t="shared" si="19"/>
        <v>2.1807478822053201</v>
      </c>
      <c r="O125" s="635">
        <f t="shared" si="20"/>
        <v>1</v>
      </c>
      <c r="P125" s="637">
        <f t="shared" si="21"/>
        <v>1793.3220054295286</v>
      </c>
      <c r="Q125" s="637">
        <f t="shared" si="22"/>
        <v>705.48590125200246</v>
      </c>
      <c r="R125" s="635">
        <f t="shared" si="23"/>
        <v>7.2495494817164836</v>
      </c>
      <c r="S125" s="637">
        <f t="shared" si="24"/>
        <v>3483.9741831530891</v>
      </c>
      <c r="T125" s="644">
        <f t="shared" si="25"/>
        <v>21310.643164520901</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27"/>
        <v>0</v>
      </c>
      <c r="I126" s="27">
        <f>IF(Weather_Site!M124&lt;180,Weather_Site!M124+180,Weather_Site!M124-180)</f>
        <v>350</v>
      </c>
      <c r="J126" s="635">
        <f t="shared" si="15"/>
        <v>3.9516299999999998</v>
      </c>
      <c r="K126" s="635">
        <f t="shared" si="16"/>
        <v>4.6172000000000004</v>
      </c>
      <c r="L126" s="635">
        <f t="shared" si="17"/>
        <v>4.4092700000000002</v>
      </c>
      <c r="M126" s="635">
        <f t="shared" si="18"/>
        <v>4.4092700000000002</v>
      </c>
      <c r="N126" s="636">
        <f t="shared" si="19"/>
        <v>1.9965274744066692</v>
      </c>
      <c r="O126" s="635">
        <f t="shared" si="20"/>
        <v>1</v>
      </c>
      <c r="P126" s="637">
        <f t="shared" si="21"/>
        <v>1445.8471630881775</v>
      </c>
      <c r="Q126" s="637">
        <f t="shared" si="22"/>
        <v>576.62716021003462</v>
      </c>
      <c r="R126" s="635">
        <f t="shared" si="23"/>
        <v>6.2041825757682272</v>
      </c>
      <c r="S126" s="637">
        <f t="shared" si="24"/>
        <v>2910.7832866871213</v>
      </c>
      <c r="T126" s="644">
        <f t="shared" si="25"/>
        <v>17181.483788031175</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si="27"/>
        <v>0</v>
      </c>
      <c r="I127" s="27">
        <f>IF(Weather_Site!M125&lt;180,Weather_Site!M125+180,Weather_Site!M125-180)</f>
        <v>349</v>
      </c>
      <c r="J127" s="635">
        <f t="shared" si="15"/>
        <v>4.4218499999999992</v>
      </c>
      <c r="K127" s="635">
        <f t="shared" si="16"/>
        <v>5.3088000000000006</v>
      </c>
      <c r="L127" s="635">
        <f t="shared" si="17"/>
        <v>5.2080500000000001</v>
      </c>
      <c r="M127" s="635">
        <f t="shared" si="18"/>
        <v>5.2080500000000001</v>
      </c>
      <c r="N127" s="636">
        <f t="shared" si="19"/>
        <v>1.5565897125972601</v>
      </c>
      <c r="O127" s="635">
        <f t="shared" si="20"/>
        <v>1</v>
      </c>
      <c r="P127" s="637">
        <f t="shared" si="21"/>
        <v>890.90559016145255</v>
      </c>
      <c r="Q127" s="637">
        <f t="shared" si="22"/>
        <v>412.89761468560891</v>
      </c>
      <c r="R127" s="635">
        <f t="shared" si="23"/>
        <v>4.3716400023070996</v>
      </c>
      <c r="S127" s="637">
        <f t="shared" si="24"/>
        <v>1781.6042784323581</v>
      </c>
      <c r="T127" s="644">
        <f t="shared" si="25"/>
        <v>10586.928096418595</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27"/>
        <v>0</v>
      </c>
      <c r="I128" s="27">
        <f>IF(Weather_Site!M126&lt;180,Weather_Site!M126+180,Weather_Site!M126-180)</f>
        <v>352</v>
      </c>
      <c r="J128" s="635">
        <f t="shared" si="15"/>
        <v>4.9980599999999997</v>
      </c>
      <c r="K128" s="635">
        <f t="shared" si="16"/>
        <v>6.1390000000000011</v>
      </c>
      <c r="L128" s="635">
        <f t="shared" si="17"/>
        <v>6.1705399999999999</v>
      </c>
      <c r="M128" s="635">
        <f t="shared" si="18"/>
        <v>6.1705399999999999</v>
      </c>
      <c r="N128" s="636">
        <f t="shared" si="19"/>
        <v>1.2080095167238656</v>
      </c>
      <c r="O128" s="635">
        <f t="shared" si="20"/>
        <v>1</v>
      </c>
      <c r="P128" s="637">
        <f t="shared" si="21"/>
        <v>564.32020836299148</v>
      </c>
      <c r="Q128" s="637">
        <f t="shared" si="22"/>
        <v>306.02927369286914</v>
      </c>
      <c r="R128" s="635">
        <f t="shared" si="23"/>
        <v>3.1424551966573033</v>
      </c>
      <c r="S128" s="637">
        <f t="shared" si="24"/>
        <v>932.89523836316039</v>
      </c>
      <c r="T128" s="644">
        <f t="shared" si="25"/>
        <v>6706.0051427135477</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27"/>
        <v>0</v>
      </c>
      <c r="I129" s="27">
        <f>IF(Weather_Site!M127&lt;180,Weather_Site!M127+180,Weather_Site!M127-180)</f>
        <v>349</v>
      </c>
      <c r="J129" s="635">
        <f t="shared" si="15"/>
        <v>5.4675899999999995</v>
      </c>
      <c r="K129" s="635">
        <f t="shared" si="16"/>
        <v>6.8159999999999998</v>
      </c>
      <c r="L129" s="635">
        <f t="shared" si="17"/>
        <v>6.9553100000000008</v>
      </c>
      <c r="M129" s="635">
        <f t="shared" si="18"/>
        <v>6.9553100000000008</v>
      </c>
      <c r="N129" s="636">
        <f t="shared" si="19"/>
        <v>1.0100441162429261</v>
      </c>
      <c r="O129" s="635">
        <f t="shared" si="20"/>
        <v>1</v>
      </c>
      <c r="P129" s="637">
        <f t="shared" si="21"/>
        <v>417.13947399011312</v>
      </c>
      <c r="Q129" s="637">
        <f t="shared" si="22"/>
        <v>243.72645708741129</v>
      </c>
      <c r="R129" s="635">
        <f t="shared" si="23"/>
        <v>2.5256865750253348</v>
      </c>
      <c r="S129" s="637">
        <f t="shared" si="24"/>
        <v>481.11468429884599</v>
      </c>
      <c r="T129" s="644">
        <f t="shared" si="25"/>
        <v>4957.0074159158439</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27"/>
        <v>0</v>
      </c>
      <c r="I130" s="27">
        <f>IF(Weather_Site!M128&lt;180,Weather_Site!M128+180,Weather_Site!M128-180)</f>
        <v>333</v>
      </c>
      <c r="J130" s="635">
        <f t="shared" si="15"/>
        <v>5.5333300000000003</v>
      </c>
      <c r="K130" s="635">
        <f t="shared" si="16"/>
        <v>6.9094999999999995</v>
      </c>
      <c r="L130" s="635">
        <f t="shared" si="17"/>
        <v>7.0639700000000012</v>
      </c>
      <c r="M130" s="635">
        <f t="shared" si="18"/>
        <v>7.0639700000000012</v>
      </c>
      <c r="N130" s="636">
        <f t="shared" si="19"/>
        <v>0.98690528051002979</v>
      </c>
      <c r="O130" s="635">
        <f t="shared" si="20"/>
        <v>1</v>
      </c>
      <c r="P130" s="637">
        <f t="shared" si="21"/>
        <v>352.84851348563546</v>
      </c>
      <c r="Q130" s="637">
        <f t="shared" si="22"/>
        <v>261.78435649770614</v>
      </c>
      <c r="R130" s="635">
        <f t="shared" si="23"/>
        <v>2.2378059227781737</v>
      </c>
      <c r="S130" s="637">
        <f t="shared" si="24"/>
        <v>285.65504670106702</v>
      </c>
      <c r="T130" s="644">
        <f t="shared" si="25"/>
        <v>4193.016501920968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27"/>
        <v>0</v>
      </c>
      <c r="I131" s="27">
        <f>IF(Weather_Site!M129&lt;180,Weather_Site!M129+180,Weather_Site!M129-180)</f>
        <v>332</v>
      </c>
      <c r="J131" s="635">
        <f t="shared" si="15"/>
        <v>5.76844</v>
      </c>
      <c r="K131" s="635">
        <f t="shared" si="16"/>
        <v>7.2553000000000001</v>
      </c>
      <c r="L131" s="635">
        <f t="shared" si="17"/>
        <v>7.4633600000000007</v>
      </c>
      <c r="M131" s="635">
        <f t="shared" si="18"/>
        <v>7.4633600000000007</v>
      </c>
      <c r="N131" s="636">
        <f t="shared" si="19"/>
        <v>0.90900565240921727</v>
      </c>
      <c r="O131" s="635">
        <f t="shared" si="20"/>
        <v>1</v>
      </c>
      <c r="P131" s="637">
        <f t="shared" si="21"/>
        <v>424.64090892420057</v>
      </c>
      <c r="Q131" s="637">
        <f t="shared" si="22"/>
        <v>251.86994191849007</v>
      </c>
      <c r="R131" s="635">
        <f t="shared" si="23"/>
        <v>2.5584437169255985</v>
      </c>
      <c r="S131" s="637">
        <f t="shared" si="24"/>
        <v>475.44000061237193</v>
      </c>
      <c r="T131" s="644">
        <f t="shared" si="25"/>
        <v>5046.1494677159162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27"/>
        <v>0</v>
      </c>
      <c r="I132" s="27">
        <f>IF(Weather_Site!M130&lt;180,Weather_Site!M130+180,Weather_Site!M130-180)</f>
        <v>331</v>
      </c>
      <c r="J132" s="635">
        <f t="shared" si="15"/>
        <v>6.0264800000000003</v>
      </c>
      <c r="K132" s="635">
        <f t="shared" si="16"/>
        <v>7.6304000000000016</v>
      </c>
      <c r="L132" s="635">
        <f t="shared" si="17"/>
        <v>7.8975199999999992</v>
      </c>
      <c r="M132" s="635">
        <f t="shared" si="18"/>
        <v>7.8975199999999992</v>
      </c>
      <c r="N132" s="636">
        <f t="shared" si="19"/>
        <v>0.83532378906219651</v>
      </c>
      <c r="O132" s="635">
        <f t="shared" si="20"/>
        <v>1</v>
      </c>
      <c r="P132" s="637">
        <f t="shared" si="21"/>
        <v>434.54777174403148</v>
      </c>
      <c r="Q132" s="637">
        <f t="shared" si="22"/>
        <v>211.61549551228723</v>
      </c>
      <c r="R132" s="635">
        <f t="shared" si="23"/>
        <v>2.601460379809057</v>
      </c>
      <c r="S132" s="637">
        <f t="shared" si="24"/>
        <v>479.8448040494327</v>
      </c>
      <c r="T132" s="644">
        <f t="shared" si="25"/>
        <v>5163.8760208915737</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27"/>
        <v>0</v>
      </c>
      <c r="I133" s="27">
        <f>IF(Weather_Site!M131&lt;180,Weather_Site!M131+180,Weather_Site!M131-180)</f>
        <v>331</v>
      </c>
      <c r="J133" s="635">
        <f t="shared" si="15"/>
        <v>6.3607899999999988</v>
      </c>
      <c r="K133" s="635">
        <f t="shared" si="16"/>
        <v>8.1113999999999997</v>
      </c>
      <c r="L133" s="635">
        <f t="shared" si="17"/>
        <v>8.4553100000000008</v>
      </c>
      <c r="M133" s="635">
        <f t="shared" si="18"/>
        <v>8.4553100000000008</v>
      </c>
      <c r="N133" s="636">
        <f t="shared" si="19"/>
        <v>0.75430127711137074</v>
      </c>
      <c r="O133" s="635">
        <f t="shared" si="20"/>
        <v>1</v>
      </c>
      <c r="P133" s="637">
        <f t="shared" si="21"/>
        <v>311.51989591772582</v>
      </c>
      <c r="Q133" s="637">
        <f t="shared" si="22"/>
        <v>182.01499804850886</v>
      </c>
      <c r="R133" s="635">
        <f t="shared" si="23"/>
        <v>2.0450612005380711</v>
      </c>
      <c r="S133" s="637">
        <f t="shared" si="24"/>
        <v>109.62884772435564</v>
      </c>
      <c r="T133" s="644">
        <f t="shared" si="25"/>
        <v>3701.8947631556416</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27"/>
        <v>0</v>
      </c>
      <c r="I134" s="27">
        <f>IF(Weather_Site!M132&lt;180,Weather_Site!M132+180,Weather_Site!M132-180)</f>
        <v>329</v>
      </c>
      <c r="J134" s="635">
        <f t="shared" si="15"/>
        <v>6.6113499999999998</v>
      </c>
      <c r="K134" s="635">
        <f t="shared" si="16"/>
        <v>8.4685000000000006</v>
      </c>
      <c r="L134" s="635">
        <f t="shared" si="17"/>
        <v>8.8701500000000006</v>
      </c>
      <c r="M134" s="635">
        <f t="shared" si="18"/>
        <v>8.8701500000000006</v>
      </c>
      <c r="N134" s="636">
        <f t="shared" si="19"/>
        <v>0.70217717214746866</v>
      </c>
      <c r="O134" s="635">
        <f t="shared" si="20"/>
        <v>1</v>
      </c>
      <c r="P134" s="637">
        <f t="shared" si="21"/>
        <v>251.04959542595486</v>
      </c>
      <c r="Q134" s="637">
        <f t="shared" si="22"/>
        <v>177.88499761059643</v>
      </c>
      <c r="R134" s="635">
        <f t="shared" si="23"/>
        <v>1.7496139023179185</v>
      </c>
      <c r="S134" s="637">
        <f t="shared" si="24"/>
        <v>76.973188206980012</v>
      </c>
      <c r="T134" s="644">
        <f t="shared" si="25"/>
        <v>2983.3060256450967</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27"/>
        <v>0</v>
      </c>
      <c r="I135" s="27">
        <f>IF(Weather_Site!M133&lt;180,Weather_Site!M133+180,Weather_Site!M133-180)</f>
        <v>325</v>
      </c>
      <c r="J135" s="635">
        <f t="shared" si="15"/>
        <v>6.6864399999999993</v>
      </c>
      <c r="K135" s="635">
        <f t="shared" si="16"/>
        <v>8.5845000000000002</v>
      </c>
      <c r="L135" s="635">
        <f t="shared" si="17"/>
        <v>9.0029600000000016</v>
      </c>
      <c r="M135" s="635">
        <f t="shared" si="18"/>
        <v>9.0029600000000016</v>
      </c>
      <c r="N135" s="636">
        <f t="shared" si="19"/>
        <v>0.68674806347138673</v>
      </c>
      <c r="O135" s="635">
        <f t="shared" si="20"/>
        <v>1</v>
      </c>
      <c r="P135" s="637">
        <f t="shared" si="21"/>
        <v>283.62100363078014</v>
      </c>
      <c r="Q135" s="637">
        <f t="shared" si="22"/>
        <v>182.1653034210062</v>
      </c>
      <c r="R135" s="635">
        <f t="shared" si="23"/>
        <v>1.910935107656393</v>
      </c>
      <c r="S135" s="637">
        <f t="shared" si="24"/>
        <v>50</v>
      </c>
      <c r="T135" s="644">
        <f t="shared" si="25"/>
        <v>3370.3629264791039</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27"/>
        <v>0</v>
      </c>
      <c r="I136" s="27">
        <f>IF(Weather_Site!M134&lt;180,Weather_Site!M134+180,Weather_Site!M134-180)</f>
        <v>322</v>
      </c>
      <c r="J136" s="635">
        <f t="shared" si="15"/>
        <v>7.0467299999999993</v>
      </c>
      <c r="K136" s="635">
        <f t="shared" si="16"/>
        <v>9.0891999999999999</v>
      </c>
      <c r="L136" s="635">
        <f t="shared" si="17"/>
        <v>9.5911699999999982</v>
      </c>
      <c r="M136" s="635">
        <f t="shared" si="18"/>
        <v>9.0891999999999999</v>
      </c>
      <c r="N136" s="636">
        <f t="shared" si="19"/>
        <v>0.67702956834116768</v>
      </c>
      <c r="O136" s="635">
        <f t="shared" si="20"/>
        <v>1</v>
      </c>
      <c r="P136" s="637">
        <f t="shared" si="21"/>
        <v>316.27355727324783</v>
      </c>
      <c r="Q136" s="637">
        <f t="shared" si="22"/>
        <v>195.53632112516297</v>
      </c>
      <c r="R136" s="635">
        <f t="shared" si="23"/>
        <v>2.067576314476566</v>
      </c>
      <c r="S136" s="637">
        <f t="shared" si="24"/>
        <v>102.4206453204074</v>
      </c>
      <c r="T136" s="644">
        <f t="shared" si="25"/>
        <v>3758.3841055970952</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27"/>
        <v>0</v>
      </c>
      <c r="I137" s="27">
        <f>IF(Weather_Site!M135&lt;180,Weather_Site!M135+180,Weather_Site!M135-180)</f>
        <v>321</v>
      </c>
      <c r="J137" s="635">
        <f t="shared" si="15"/>
        <v>6.8401599999999991</v>
      </c>
      <c r="K137" s="635">
        <f t="shared" si="16"/>
        <v>8.7861999999999991</v>
      </c>
      <c r="L137" s="635">
        <f t="shared" si="17"/>
        <v>9.2410399999999999</v>
      </c>
      <c r="M137" s="635">
        <f t="shared" si="18"/>
        <v>8.7861999999999991</v>
      </c>
      <c r="N137" s="636">
        <f t="shared" si="19"/>
        <v>0.71223100546327478</v>
      </c>
      <c r="O137" s="635">
        <f t="shared" si="20"/>
        <v>1</v>
      </c>
      <c r="P137" s="637">
        <f t="shared" si="21"/>
        <v>407.6415121585203</v>
      </c>
      <c r="Q137" s="637">
        <f t="shared" si="22"/>
        <v>246.61498009716183</v>
      </c>
      <c r="R137" s="635">
        <f t="shared" si="23"/>
        <v>2.4839758535514274</v>
      </c>
      <c r="S137" s="637">
        <f t="shared" si="24"/>
        <v>364.68838619108919</v>
      </c>
      <c r="T137" s="644">
        <f t="shared" si="25"/>
        <v>4844.1399694837492</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27"/>
        <v>0</v>
      </c>
      <c r="I138" s="27">
        <f>IF(Weather_Site!M136&lt;180,Weather_Site!M136+180,Weather_Site!M136-180)</f>
        <v>318</v>
      </c>
      <c r="J138" s="635">
        <f t="shared" si="15"/>
        <v>6.2545999999999999</v>
      </c>
      <c r="K138" s="635">
        <f t="shared" si="16"/>
        <v>7.9335000000000004</v>
      </c>
      <c r="L138" s="635">
        <f t="shared" si="17"/>
        <v>8.2544000000000004</v>
      </c>
      <c r="M138" s="635">
        <f t="shared" si="18"/>
        <v>7.9335000000000004</v>
      </c>
      <c r="N138" s="636">
        <f t="shared" si="19"/>
        <v>0.82966655367316178</v>
      </c>
      <c r="O138" s="635">
        <f t="shared" si="20"/>
        <v>1</v>
      </c>
      <c r="P138" s="637">
        <f t="shared" si="21"/>
        <v>682.27019730787765</v>
      </c>
      <c r="Q138" s="637">
        <f t="shared" si="22"/>
        <v>220.07555248742122</v>
      </c>
      <c r="R138" s="635">
        <f t="shared" si="23"/>
        <v>3.604678711219969</v>
      </c>
      <c r="S138" s="637">
        <f t="shared" si="24"/>
        <v>1069.2840368573643</v>
      </c>
      <c r="T138" s="644">
        <f t="shared" si="25"/>
        <v>8107.6441780086125</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27"/>
        <v>0</v>
      </c>
      <c r="I139" s="27">
        <f>IF(Weather_Site!M137&lt;180,Weather_Site!M137+180,Weather_Site!M137-180)</f>
        <v>316</v>
      </c>
      <c r="J139" s="635">
        <f t="shared" si="15"/>
        <v>5.7775899999999991</v>
      </c>
      <c r="K139" s="635">
        <f t="shared" si="16"/>
        <v>7.238500000000001</v>
      </c>
      <c r="L139" s="635">
        <f t="shared" si="17"/>
        <v>7.45031</v>
      </c>
      <c r="M139" s="635">
        <f t="shared" si="18"/>
        <v>7.238500000000001</v>
      </c>
      <c r="N139" s="636">
        <f t="shared" si="19"/>
        <v>0.95154399424181402</v>
      </c>
      <c r="O139" s="635">
        <f t="shared" si="20"/>
        <v>1</v>
      </c>
      <c r="P139" s="637">
        <f t="shared" si="21"/>
        <v>444.5126446961915</v>
      </c>
      <c r="Q139" s="637">
        <f t="shared" si="22"/>
        <v>296.90271289570359</v>
      </c>
      <c r="R139" s="635">
        <f t="shared" si="23"/>
        <v>2.6444557368156945</v>
      </c>
      <c r="S139" s="637">
        <f t="shared" si="24"/>
        <v>542.60794901419013</v>
      </c>
      <c r="T139" s="644">
        <f t="shared" si="25"/>
        <v>5282.2919278064091</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27"/>
        <v>0</v>
      </c>
      <c r="I140" s="27">
        <f>IF(Weather_Site!M138&lt;180,Weather_Site!M138+180,Weather_Site!M138-180)</f>
        <v>318</v>
      </c>
      <c r="J140" s="635">
        <f t="shared" si="15"/>
        <v>5.1337699999999993</v>
      </c>
      <c r="K140" s="635">
        <f t="shared" si="16"/>
        <v>6.3103000000000007</v>
      </c>
      <c r="L140" s="635">
        <f t="shared" si="17"/>
        <v>6.3743300000000005</v>
      </c>
      <c r="M140" s="635">
        <f t="shared" si="18"/>
        <v>6.3103000000000007</v>
      </c>
      <c r="N140" s="636">
        <f t="shared" si="19"/>
        <v>1.1682310304641352</v>
      </c>
      <c r="O140" s="635">
        <f t="shared" si="20"/>
        <v>1</v>
      </c>
      <c r="P140" s="637">
        <f t="shared" si="21"/>
        <v>787.6722839179605</v>
      </c>
      <c r="Q140" s="637">
        <f t="shared" si="22"/>
        <v>323.69686702224948</v>
      </c>
      <c r="R140" s="635">
        <f t="shared" si="23"/>
        <v>3.9992073928184357</v>
      </c>
      <c r="S140" s="637">
        <f t="shared" si="24"/>
        <v>1438.4707564701703</v>
      </c>
      <c r="T140" s="644">
        <f t="shared" si="25"/>
        <v>9360.172307225097</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27"/>
        <v>0</v>
      </c>
      <c r="I141" s="27">
        <f>IF(Weather_Site!M139&lt;180,Weather_Site!M139+180,Weather_Site!M139-180)</f>
        <v>316</v>
      </c>
      <c r="J141" s="635">
        <f t="shared" si="15"/>
        <v>4.7510399999999997</v>
      </c>
      <c r="K141" s="635">
        <f t="shared" si="16"/>
        <v>5.7515999999999998</v>
      </c>
      <c r="L141" s="635">
        <f t="shared" si="17"/>
        <v>5.7281599999999999</v>
      </c>
      <c r="M141" s="635">
        <f t="shared" si="18"/>
        <v>5.7515999999999998</v>
      </c>
      <c r="N141" s="636">
        <f t="shared" si="19"/>
        <v>1.3418977618681223</v>
      </c>
      <c r="O141" s="635">
        <f t="shared" si="20"/>
        <v>1</v>
      </c>
      <c r="P141" s="637">
        <f t="shared" si="21"/>
        <v>698.07503385334292</v>
      </c>
      <c r="Q141" s="637">
        <f t="shared" si="22"/>
        <v>371.81695234401229</v>
      </c>
      <c r="R141" s="635">
        <f t="shared" si="23"/>
        <v>3.6648593034327797</v>
      </c>
      <c r="S141" s="637">
        <f t="shared" si="24"/>
        <v>1297.3178295140842</v>
      </c>
      <c r="T141" s="644">
        <f t="shared" si="25"/>
        <v>8295.4583189572259</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27"/>
        <v>0</v>
      </c>
      <c r="I142" s="27">
        <f>IF(Weather_Site!M140&lt;180,Weather_Site!M140+180,Weather_Site!M140-180)</f>
        <v>321</v>
      </c>
      <c r="J142" s="635">
        <f t="shared" si="15"/>
        <v>4.3664399999999999</v>
      </c>
      <c r="K142" s="635">
        <f t="shared" si="16"/>
        <v>5.1884000000000006</v>
      </c>
      <c r="L142" s="635">
        <f t="shared" si="17"/>
        <v>5.0771600000000001</v>
      </c>
      <c r="M142" s="635">
        <f t="shared" si="18"/>
        <v>5.1884000000000006</v>
      </c>
      <c r="N142" s="636">
        <f t="shared" si="19"/>
        <v>1.5654113883580276</v>
      </c>
      <c r="O142" s="635">
        <f t="shared" si="20"/>
        <v>1</v>
      </c>
      <c r="P142" s="637">
        <f t="shared" si="21"/>
        <v>814.35012336642774</v>
      </c>
      <c r="Q142" s="637">
        <f t="shared" si="22"/>
        <v>433.74876098876206</v>
      </c>
      <c r="R142" s="635">
        <f t="shared" si="23"/>
        <v>4.0966848624116174</v>
      </c>
      <c r="S142" s="637">
        <f t="shared" si="24"/>
        <v>1621.3926621611945</v>
      </c>
      <c r="T142" s="644">
        <f t="shared" si="25"/>
        <v>9677.1939660043827</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27"/>
        <v>0</v>
      </c>
      <c r="I143" s="27">
        <f>IF(Weather_Site!M141&lt;180,Weather_Site!M141+180,Weather_Site!M141-180)</f>
        <v>325</v>
      </c>
      <c r="J143" s="635">
        <f t="shared" ref="J143:J179" si="28">2.76+0.124*E143-0.0187*D143</f>
        <v>4.04758</v>
      </c>
      <c r="K143" s="635">
        <f t="shared" ref="K143:K179" si="29">3.6+0.169*E143-0.045*D143</f>
        <v>4.7187000000000001</v>
      </c>
      <c r="L143" s="635">
        <f t="shared" ref="L143:L179" si="30">3.08+0.198*E143-0.0483*D143</f>
        <v>4.5348200000000007</v>
      </c>
      <c r="M143" s="635">
        <f t="shared" ref="M143:M179" si="31">IF(AND(OR(MONTH(B143)&gt;10,MONTH(B143)&lt;3),AND(HOUR(C143)&gt;=13,HOUR(C143)&lt;=17)),J143,IF(OR(HOUR(C143)&lt;6,HOUR(C143)&gt;=20),L143,K143))</f>
        <v>4.04758</v>
      </c>
      <c r="N143" s="636">
        <f t="shared" ref="N143:N179" si="32">M143^-1.495/0.0545</f>
        <v>2.2690617400604922</v>
      </c>
      <c r="O143" s="635">
        <f t="shared" ref="O143:O179" si="33">EXP(0.069*H143)</f>
        <v>1</v>
      </c>
      <c r="P143" s="637">
        <f t="shared" ref="P143:P179" si="34">(30+1.531*(IF(G143&lt;5,0,G143-5))^0.858*$D$6^0.93*($D$7*$C$8)^0.637*1.03)*N143*O143</f>
        <v>1180.3994283461079</v>
      </c>
      <c r="Q143" s="637">
        <f t="shared" ref="Q143:Q179" si="35">(30+1.531*(IF((0.2*G144+4)&lt;5,0,(0.2*G144+6)-5))^0.858*$D$6^0.93*($D$7*$C$8)^0.637*1.03)*N143</f>
        <v>628.71825622182359</v>
      </c>
      <c r="R143" s="635">
        <f t="shared" ref="R143:R179" si="36">0.0193*P143^0.723*EXP(0.64*$C$10)</f>
        <v>5.3578807569178259</v>
      </c>
      <c r="S143" s="637">
        <f t="shared" ref="S143:S179" si="37">MAX(50,ABS(176.969*(ATAN($D$6)*(P143/G143^0.25)^0.5)+1568800*($D$6^-1*(P143/G143^0.25)^-1.5)-3015.09))</f>
        <v>2529.8610725429817</v>
      </c>
      <c r="T143" s="644">
        <f t="shared" ref="T143:T179" si="38">18600*P143/3600*F$11/10</f>
        <v>14027.079873512917</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27"/>
        <v>0</v>
      </c>
      <c r="I144" s="27">
        <f>IF(Weather_Site!M142&lt;180,Weather_Site!M142+180,Weather_Site!M142-180)</f>
        <v>330</v>
      </c>
      <c r="J144" s="635">
        <f t="shared" si="28"/>
        <v>3.7801899999999997</v>
      </c>
      <c r="K144" s="635">
        <f t="shared" si="29"/>
        <v>4.3211000000000004</v>
      </c>
      <c r="L144" s="635">
        <f t="shared" si="30"/>
        <v>4.0765099999999999</v>
      </c>
      <c r="M144" s="635">
        <f t="shared" si="31"/>
        <v>3.7801899999999997</v>
      </c>
      <c r="N144" s="636">
        <f t="shared" si="32"/>
        <v>2.5131627992683314</v>
      </c>
      <c r="O144" s="635">
        <f t="shared" si="33"/>
        <v>1</v>
      </c>
      <c r="P144" s="637">
        <f t="shared" si="34"/>
        <v>1307.3844044093557</v>
      </c>
      <c r="Q144" s="637">
        <f t="shared" si="35"/>
        <v>636.66831716511331</v>
      </c>
      <c r="R144" s="635">
        <f t="shared" si="36"/>
        <v>5.7686696553461765</v>
      </c>
      <c r="S144" s="637">
        <f t="shared" si="37"/>
        <v>2813.9387489771188</v>
      </c>
      <c r="T144" s="644">
        <f t="shared" si="38"/>
        <v>15536.084672397843</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27"/>
        <v>0</v>
      </c>
      <c r="I145" s="27">
        <f>IF(Weather_Site!M143&lt;180,Weather_Site!M143+180,Weather_Site!M143-180)</f>
        <v>334</v>
      </c>
      <c r="J145" s="635">
        <f t="shared" si="28"/>
        <v>3.59842</v>
      </c>
      <c r="K145" s="635">
        <f t="shared" si="29"/>
        <v>4.0518999999999998</v>
      </c>
      <c r="L145" s="635">
        <f t="shared" si="30"/>
        <v>3.7659799999999994</v>
      </c>
      <c r="M145" s="635">
        <f t="shared" si="31"/>
        <v>3.59842</v>
      </c>
      <c r="N145" s="636">
        <f t="shared" si="32"/>
        <v>2.7053052736770034</v>
      </c>
      <c r="O145" s="635">
        <f t="shared" si="33"/>
        <v>1</v>
      </c>
      <c r="P145" s="637">
        <f t="shared" si="34"/>
        <v>1117.2676526664609</v>
      </c>
      <c r="Q145" s="637">
        <f t="shared" si="35"/>
        <v>717.6034156321324</v>
      </c>
      <c r="R145" s="635">
        <f t="shared" si="36"/>
        <v>5.1491288256732801</v>
      </c>
      <c r="S145" s="637">
        <f t="shared" si="37"/>
        <v>2494.2728031974175</v>
      </c>
      <c r="T145" s="644">
        <f t="shared" si="38"/>
        <v>13276.863939186442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27"/>
        <v>0</v>
      </c>
      <c r="I146" s="27">
        <f>IF(Weather_Site!M144&lt;180,Weather_Site!M144+180,Weather_Site!M144-180)</f>
        <v>339</v>
      </c>
      <c r="J146" s="635">
        <f t="shared" si="28"/>
        <v>3.4985299999999997</v>
      </c>
      <c r="K146" s="635">
        <f t="shared" si="29"/>
        <v>3.9020999999999999</v>
      </c>
      <c r="L146" s="635">
        <f t="shared" si="30"/>
        <v>3.5935699999999997</v>
      </c>
      <c r="M146" s="635">
        <f t="shared" si="31"/>
        <v>3.4985299999999997</v>
      </c>
      <c r="N146" s="636">
        <f t="shared" si="32"/>
        <v>2.8215939938600068</v>
      </c>
      <c r="O146" s="635">
        <f t="shared" si="33"/>
        <v>1</v>
      </c>
      <c r="P146" s="637">
        <f t="shared" si="34"/>
        <v>1318.104276901006</v>
      </c>
      <c r="Q146" s="637">
        <f t="shared" si="35"/>
        <v>714.80426986944167</v>
      </c>
      <c r="R146" s="635">
        <f t="shared" si="36"/>
        <v>5.8028289209126269</v>
      </c>
      <c r="S146" s="637">
        <f t="shared" si="37"/>
        <v>2895.0328891267709</v>
      </c>
      <c r="T146" s="644">
        <f t="shared" si="38"/>
        <v>15663.472490506956</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27"/>
        <v>0</v>
      </c>
      <c r="I147" s="27">
        <f>IF(Weather_Site!M145&lt;180,Weather_Site!M145+180,Weather_Site!M145-180)</f>
        <v>344</v>
      </c>
      <c r="J147" s="635">
        <f t="shared" si="28"/>
        <v>3.4147799999999995</v>
      </c>
      <c r="K147" s="635">
        <f t="shared" si="29"/>
        <v>3.7782</v>
      </c>
      <c r="L147" s="635">
        <f t="shared" si="30"/>
        <v>3.4506200000000007</v>
      </c>
      <c r="M147" s="635">
        <f t="shared" si="31"/>
        <v>3.4147799999999995</v>
      </c>
      <c r="N147" s="636">
        <f t="shared" si="32"/>
        <v>2.9256759229047424</v>
      </c>
      <c r="O147" s="635">
        <f t="shared" si="33"/>
        <v>1</v>
      </c>
      <c r="P147" s="637">
        <f t="shared" si="34"/>
        <v>1208.278822597983</v>
      </c>
      <c r="Q147" s="637">
        <f t="shared" si="35"/>
        <v>776.05845659538625</v>
      </c>
      <c r="R147" s="635">
        <f t="shared" si="36"/>
        <v>5.4490769775761967</v>
      </c>
      <c r="S147" s="637">
        <f t="shared" si="37"/>
        <v>2709.0847593822791</v>
      </c>
      <c r="T147" s="644">
        <f t="shared" si="38"/>
        <v>14358.380008539365</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ref="H148:H179" si="39">C$4</f>
        <v>0</v>
      </c>
      <c r="I148" s="27">
        <f>IF(Weather_Site!M146&lt;180,Weather_Site!M146+180,Weather_Site!M146-180)</f>
        <v>337</v>
      </c>
      <c r="J148" s="635">
        <f t="shared" si="28"/>
        <v>3.488</v>
      </c>
      <c r="K148" s="635">
        <f t="shared" si="29"/>
        <v>3.8897000000000004</v>
      </c>
      <c r="L148" s="635">
        <f t="shared" si="30"/>
        <v>3.5785999999999998</v>
      </c>
      <c r="M148" s="635">
        <f t="shared" si="31"/>
        <v>3.8897000000000004</v>
      </c>
      <c r="N148" s="636">
        <f t="shared" si="32"/>
        <v>2.408124398771136</v>
      </c>
      <c r="O148" s="635">
        <f t="shared" si="33"/>
        <v>1</v>
      </c>
      <c r="P148" s="637">
        <f t="shared" si="34"/>
        <v>1124.9524475304024</v>
      </c>
      <c r="Q148" s="637">
        <f t="shared" si="35"/>
        <v>610.05857198595743</v>
      </c>
      <c r="R148" s="635">
        <f t="shared" si="36"/>
        <v>5.174710819909393</v>
      </c>
      <c r="S148" s="637">
        <f t="shared" si="37"/>
        <v>2454.4186316090718</v>
      </c>
      <c r="T148" s="644">
        <f t="shared" si="38"/>
        <v>13368.184918152949</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39"/>
        <v>0</v>
      </c>
      <c r="I149" s="27">
        <f>IF(Weather_Site!M147&lt;180,Weather_Site!M147+180,Weather_Site!M147-180)</f>
        <v>334</v>
      </c>
      <c r="J149" s="635">
        <f t="shared" si="28"/>
        <v>3.5221499999999999</v>
      </c>
      <c r="K149" s="635">
        <f t="shared" si="29"/>
        <v>3.9459999999999997</v>
      </c>
      <c r="L149" s="635">
        <f t="shared" si="30"/>
        <v>3.6423500000000004</v>
      </c>
      <c r="M149" s="635">
        <f t="shared" si="31"/>
        <v>3.9459999999999997</v>
      </c>
      <c r="N149" s="636">
        <f t="shared" si="32"/>
        <v>2.3569407316144906</v>
      </c>
      <c r="O149" s="635">
        <f t="shared" si="33"/>
        <v>1</v>
      </c>
      <c r="P149" s="637">
        <f t="shared" si="34"/>
        <v>973.39611329915181</v>
      </c>
      <c r="Q149" s="637">
        <f t="shared" si="35"/>
        <v>540.11076156311015</v>
      </c>
      <c r="R149" s="635">
        <f t="shared" si="36"/>
        <v>4.6606819818540171</v>
      </c>
      <c r="S149" s="637">
        <f t="shared" si="37"/>
        <v>2137.5273830056276</v>
      </c>
      <c r="T149" s="644">
        <f t="shared" si="38"/>
        <v>11567.190479704921</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39"/>
        <v>0</v>
      </c>
      <c r="I150" s="27">
        <f>IF(Weather_Site!M148&lt;180,Weather_Site!M148+180,Weather_Site!M148-180)</f>
        <v>332</v>
      </c>
      <c r="J150" s="635">
        <f t="shared" si="28"/>
        <v>3.6865999999999999</v>
      </c>
      <c r="K150" s="635">
        <f t="shared" si="29"/>
        <v>4.1993999999999998</v>
      </c>
      <c r="L150" s="635">
        <f t="shared" si="30"/>
        <v>3.9325999999999999</v>
      </c>
      <c r="M150" s="635">
        <f t="shared" si="31"/>
        <v>3.9325999999999999</v>
      </c>
      <c r="N150" s="636">
        <f t="shared" si="32"/>
        <v>2.3689573085054443</v>
      </c>
      <c r="O150" s="635">
        <f t="shared" si="33"/>
        <v>1</v>
      </c>
      <c r="P150" s="637">
        <f t="shared" si="34"/>
        <v>711.7763392547605</v>
      </c>
      <c r="Q150" s="637">
        <f t="shared" si="35"/>
        <v>513.79932862229316</v>
      </c>
      <c r="R150" s="635">
        <f t="shared" si="36"/>
        <v>3.7167253376267175</v>
      </c>
      <c r="S150" s="637">
        <f t="shared" si="37"/>
        <v>1528.6010091096778</v>
      </c>
      <c r="T150" s="644">
        <f t="shared" si="38"/>
        <v>8458.2754981440703</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39"/>
        <v>0</v>
      </c>
      <c r="I151" s="27">
        <f>IF(Weather_Site!M149&lt;180,Weather_Site!M149+180,Weather_Site!M149-180)</f>
        <v>330</v>
      </c>
      <c r="J151" s="635">
        <f t="shared" si="28"/>
        <v>4.2052399999999999</v>
      </c>
      <c r="K151" s="635">
        <f t="shared" si="29"/>
        <v>4.9687000000000001</v>
      </c>
      <c r="L151" s="635">
        <f t="shared" si="30"/>
        <v>4.8197600000000005</v>
      </c>
      <c r="M151" s="635">
        <f t="shared" si="31"/>
        <v>4.8197600000000005</v>
      </c>
      <c r="N151" s="636">
        <f t="shared" si="32"/>
        <v>1.7477548065583588</v>
      </c>
      <c r="O151" s="635">
        <f t="shared" si="33"/>
        <v>1</v>
      </c>
      <c r="P151" s="637">
        <f t="shared" si="34"/>
        <v>421.73810035591697</v>
      </c>
      <c r="Q151" s="637">
        <f t="shared" si="35"/>
        <v>400.51120799681706</v>
      </c>
      <c r="R151" s="635">
        <f t="shared" si="36"/>
        <v>2.5457869461586213</v>
      </c>
      <c r="S151" s="637">
        <f t="shared" si="37"/>
        <v>616.94031639476316</v>
      </c>
      <c r="T151" s="644">
        <f t="shared" si="38"/>
        <v>5011.6544258961467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39"/>
        <v>0</v>
      </c>
      <c r="I152" s="27">
        <f>IF(Weather_Site!M150&lt;180,Weather_Site!M150+180,Weather_Site!M150-180)</f>
        <v>328</v>
      </c>
      <c r="J152" s="635">
        <f t="shared" si="28"/>
        <v>4.6326499999999999</v>
      </c>
      <c r="K152" s="635">
        <f t="shared" si="29"/>
        <v>5.5961000000000007</v>
      </c>
      <c r="L152" s="635">
        <f t="shared" si="30"/>
        <v>5.5446499999999999</v>
      </c>
      <c r="M152" s="635">
        <f t="shared" si="31"/>
        <v>5.5446499999999999</v>
      </c>
      <c r="N152" s="636">
        <f t="shared" si="32"/>
        <v>1.4174627767461061</v>
      </c>
      <c r="O152" s="635">
        <f t="shared" si="33"/>
        <v>1</v>
      </c>
      <c r="P152" s="637">
        <f t="shared" si="34"/>
        <v>425.89052265308584</v>
      </c>
      <c r="Q152" s="637">
        <f t="shared" si="35"/>
        <v>324.82229593922699</v>
      </c>
      <c r="R152" s="635">
        <f t="shared" si="36"/>
        <v>2.5638848744756304</v>
      </c>
      <c r="S152" s="637">
        <f t="shared" si="37"/>
        <v>586.66020485219406</v>
      </c>
      <c r="T152" s="644">
        <f t="shared" si="38"/>
        <v>5060.99904419417</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39"/>
        <v>0</v>
      </c>
      <c r="I153" s="27">
        <f>IF(Weather_Site!M151&lt;180,Weather_Site!M151+180,Weather_Site!M151-180)</f>
        <v>325</v>
      </c>
      <c r="J153" s="635">
        <f t="shared" si="28"/>
        <v>4.9887099999999993</v>
      </c>
      <c r="K153" s="635">
        <f t="shared" si="29"/>
        <v>6.1165000000000003</v>
      </c>
      <c r="L153" s="635">
        <f t="shared" si="30"/>
        <v>6.1463900000000002</v>
      </c>
      <c r="M153" s="635">
        <f t="shared" si="31"/>
        <v>6.1463900000000002</v>
      </c>
      <c r="N153" s="636">
        <f t="shared" si="32"/>
        <v>1.2151123303706364</v>
      </c>
      <c r="O153" s="635">
        <f t="shared" si="33"/>
        <v>1</v>
      </c>
      <c r="P153" s="637">
        <f t="shared" si="34"/>
        <v>365.09235653562013</v>
      </c>
      <c r="Q153" s="637">
        <f t="shared" si="35"/>
        <v>278.45216357716873</v>
      </c>
      <c r="R153" s="635">
        <f t="shared" si="36"/>
        <v>2.2936823111907163</v>
      </c>
      <c r="S153" s="637">
        <f t="shared" si="37"/>
        <v>364.98551885147799</v>
      </c>
      <c r="T153" s="644">
        <f t="shared" si="38"/>
        <v>4338.5141701649518</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39"/>
        <v>0</v>
      </c>
      <c r="I154" s="27">
        <f>IF(Weather_Site!M152&lt;180,Weather_Site!M152+180,Weather_Site!M152-180)</f>
        <v>311</v>
      </c>
      <c r="J154" s="635">
        <f t="shared" si="28"/>
        <v>5.1753999999999998</v>
      </c>
      <c r="K154" s="635">
        <f t="shared" si="29"/>
        <v>6.3846000000000007</v>
      </c>
      <c r="L154" s="635">
        <f t="shared" si="30"/>
        <v>6.4573999999999998</v>
      </c>
      <c r="M154" s="635">
        <f t="shared" si="31"/>
        <v>6.4573999999999998</v>
      </c>
      <c r="N154" s="636">
        <f t="shared" si="32"/>
        <v>1.1286707028670218</v>
      </c>
      <c r="O154" s="635">
        <f t="shared" si="33"/>
        <v>1</v>
      </c>
      <c r="P154" s="637">
        <f t="shared" si="34"/>
        <v>339.12012606829973</v>
      </c>
      <c r="Q154" s="637">
        <f t="shared" si="35"/>
        <v>272.35138268156226</v>
      </c>
      <c r="R154" s="635">
        <f t="shared" si="36"/>
        <v>2.1745115122735323</v>
      </c>
      <c r="S154" s="637">
        <f t="shared" si="37"/>
        <v>268.73219209608715</v>
      </c>
      <c r="T154" s="644">
        <f t="shared" si="38"/>
        <v>4029.877498111628</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39"/>
        <v>0</v>
      </c>
      <c r="I155" s="27">
        <f>IF(Weather_Site!M153&lt;180,Weather_Site!M153+180,Weather_Site!M153-180)</f>
        <v>302</v>
      </c>
      <c r="J155" s="635">
        <f t="shared" si="28"/>
        <v>5.3962399999999997</v>
      </c>
      <c r="K155" s="635">
        <f t="shared" si="29"/>
        <v>6.7090000000000014</v>
      </c>
      <c r="L155" s="635">
        <f t="shared" si="30"/>
        <v>6.8321600000000009</v>
      </c>
      <c r="M155" s="635">
        <f t="shared" si="31"/>
        <v>6.8321600000000009</v>
      </c>
      <c r="N155" s="636">
        <f t="shared" si="32"/>
        <v>1.0373832830884657</v>
      </c>
      <c r="O155" s="635">
        <f t="shared" si="33"/>
        <v>1</v>
      </c>
      <c r="P155" s="637">
        <f t="shared" si="34"/>
        <v>370.8959274829752</v>
      </c>
      <c r="Q155" s="637">
        <f t="shared" si="35"/>
        <v>250.32347415610178</v>
      </c>
      <c r="R155" s="635">
        <f t="shared" si="36"/>
        <v>2.3199857990657238</v>
      </c>
      <c r="S155" s="637">
        <f t="shared" si="37"/>
        <v>350.80185230647567</v>
      </c>
      <c r="T155" s="644">
        <f t="shared" si="38"/>
        <v>4407.4799382560213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39"/>
        <v>0</v>
      </c>
      <c r="I156" s="27">
        <f>IF(Weather_Site!M154&lt;180,Weather_Site!M154+180,Weather_Site!M154-180)</f>
        <v>303</v>
      </c>
      <c r="J156" s="635">
        <f t="shared" si="28"/>
        <v>5.6257400000000004</v>
      </c>
      <c r="K156" s="635">
        <f t="shared" si="29"/>
        <v>7.0412999999999997</v>
      </c>
      <c r="L156" s="635">
        <f t="shared" si="30"/>
        <v>7.21706</v>
      </c>
      <c r="M156" s="635">
        <f t="shared" si="31"/>
        <v>7.21706</v>
      </c>
      <c r="N156" s="636">
        <f t="shared" si="32"/>
        <v>0.95577314894517651</v>
      </c>
      <c r="O156" s="635">
        <f t="shared" si="33"/>
        <v>1</v>
      </c>
      <c r="P156" s="637">
        <f t="shared" si="34"/>
        <v>341.71783401594945</v>
      </c>
      <c r="Q156" s="637">
        <f t="shared" si="35"/>
        <v>230.63072159479844</v>
      </c>
      <c r="R156" s="635">
        <f t="shared" si="36"/>
        <v>2.1865418346042107</v>
      </c>
      <c r="S156" s="637">
        <f t="shared" si="37"/>
        <v>245.36652519254403</v>
      </c>
      <c r="T156" s="644">
        <f t="shared" si="38"/>
        <v>4060.7469275561989</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548">
        <f t="shared" si="39"/>
        <v>0</v>
      </c>
      <c r="I157" s="27">
        <f>IF(Weather_Site!M155&lt;180,Weather_Site!M155+180,Weather_Site!M155-180)</f>
        <v>301</v>
      </c>
      <c r="J157" s="635">
        <f t="shared" si="28"/>
        <v>6.39405</v>
      </c>
      <c r="K157" s="635">
        <f t="shared" si="29"/>
        <v>8.1138000000000012</v>
      </c>
      <c r="L157" s="635">
        <f t="shared" si="30"/>
        <v>8.4678500000000003</v>
      </c>
      <c r="M157" s="635">
        <f t="shared" si="31"/>
        <v>8.4678500000000003</v>
      </c>
      <c r="N157" s="636">
        <f t="shared" si="32"/>
        <v>0.75263191263084805</v>
      </c>
      <c r="O157" s="635">
        <f t="shared" si="33"/>
        <v>1</v>
      </c>
      <c r="P157" s="637">
        <f t="shared" si="34"/>
        <v>269.0886925201192</v>
      </c>
      <c r="Q157" s="637">
        <f t="shared" si="35"/>
        <v>172.47128451520047</v>
      </c>
      <c r="R157" s="635">
        <f t="shared" si="36"/>
        <v>1.8396300412112969</v>
      </c>
      <c r="S157" s="637">
        <f t="shared" si="37"/>
        <v>50</v>
      </c>
      <c r="T157" s="644">
        <f t="shared" si="38"/>
        <v>3197.6706294474161</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548">
        <f t="shared" si="39"/>
        <v>0</v>
      </c>
      <c r="I158" s="27">
        <f>IF(Weather_Site!M156&lt;180,Weather_Site!M156+180,Weather_Site!M156-180)</f>
        <v>299</v>
      </c>
      <c r="J158" s="635">
        <f t="shared" si="28"/>
        <v>7.1176799999999991</v>
      </c>
      <c r="K158" s="635">
        <f t="shared" si="29"/>
        <v>9.1176000000000013</v>
      </c>
      <c r="L158" s="635">
        <f t="shared" si="30"/>
        <v>9.63992</v>
      </c>
      <c r="M158" s="635">
        <f t="shared" si="31"/>
        <v>9.63992</v>
      </c>
      <c r="N158" s="636">
        <f t="shared" si="32"/>
        <v>0.62003145188236108</v>
      </c>
      <c r="O158" s="635">
        <f t="shared" si="33"/>
        <v>1</v>
      </c>
      <c r="P158" s="637">
        <f t="shared" si="34"/>
        <v>186.29449988782983</v>
      </c>
      <c r="Q158" s="637">
        <f t="shared" si="35"/>
        <v>142.08488791309921</v>
      </c>
      <c r="R158" s="635">
        <f t="shared" si="36"/>
        <v>1.4101675206198165</v>
      </c>
      <c r="S158" s="637">
        <f t="shared" si="37"/>
        <v>253.86479628587358</v>
      </c>
      <c r="T158" s="644">
        <f t="shared" si="38"/>
        <v>2213.7996403337111</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548">
        <f t="shared" si="39"/>
        <v>0</v>
      </c>
      <c r="I159" s="27">
        <f>IF(Weather_Site!M157&lt;180,Weather_Site!M157+180,Weather_Site!M157-180)</f>
        <v>297</v>
      </c>
      <c r="J159" s="635">
        <f t="shared" si="28"/>
        <v>7.9405100000000006</v>
      </c>
      <c r="K159" s="635">
        <f t="shared" si="29"/>
        <v>10.256600000000001</v>
      </c>
      <c r="L159" s="635">
        <f t="shared" si="30"/>
        <v>10.97039</v>
      </c>
      <c r="M159" s="635">
        <f t="shared" si="31"/>
        <v>10.97039</v>
      </c>
      <c r="N159" s="636">
        <f t="shared" si="32"/>
        <v>0.51105954901084893</v>
      </c>
      <c r="O159" s="635">
        <f t="shared" si="33"/>
        <v>1</v>
      </c>
      <c r="P159" s="637">
        <f t="shared" si="34"/>
        <v>153.55282833932714</v>
      </c>
      <c r="Q159" s="637">
        <f t="shared" si="35"/>
        <v>117.11315372418005</v>
      </c>
      <c r="R159" s="635">
        <f t="shared" si="36"/>
        <v>1.2262541432905329</v>
      </c>
      <c r="S159" s="637">
        <f t="shared" si="37"/>
        <v>307.37012529848471</v>
      </c>
      <c r="T159" s="644">
        <f t="shared" si="38"/>
        <v>1824.7194434323374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548">
        <f t="shared" si="39"/>
        <v>0</v>
      </c>
      <c r="I160" s="27">
        <f>IF(Weather_Site!M158&lt;180,Weather_Site!M158+180,Weather_Site!M158-180)</f>
        <v>293</v>
      </c>
      <c r="J160" s="635">
        <f t="shared" si="28"/>
        <v>8.1283799999999999</v>
      </c>
      <c r="K160" s="635">
        <f t="shared" si="29"/>
        <v>10.514600000000002</v>
      </c>
      <c r="L160" s="635">
        <f t="shared" si="30"/>
        <v>11.272220000000001</v>
      </c>
      <c r="M160" s="635">
        <f t="shared" si="31"/>
        <v>10.514600000000002</v>
      </c>
      <c r="N160" s="636">
        <f t="shared" si="32"/>
        <v>0.54453190125871331</v>
      </c>
      <c r="O160" s="635">
        <f t="shared" si="33"/>
        <v>1</v>
      </c>
      <c r="P160" s="637">
        <f t="shared" si="34"/>
        <v>163.60992319016751</v>
      </c>
      <c r="Q160" s="637">
        <f t="shared" si="35"/>
        <v>131.3970636832446</v>
      </c>
      <c r="R160" s="635">
        <f t="shared" si="36"/>
        <v>1.2838091125530016</v>
      </c>
      <c r="S160" s="637">
        <f t="shared" si="37"/>
        <v>297.16092381703493</v>
      </c>
      <c r="T160" s="644">
        <f t="shared" si="38"/>
        <v>1944.2312539098239</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548">
        <f t="shared" si="39"/>
        <v>0</v>
      </c>
      <c r="I161" s="27">
        <f>IF(Weather_Site!M159&lt;180,Weather_Site!M159+180,Weather_Site!M159-180)</f>
        <v>291</v>
      </c>
      <c r="J161" s="635">
        <f t="shared" si="28"/>
        <v>7.6396600000000001</v>
      </c>
      <c r="K161" s="635">
        <f t="shared" si="29"/>
        <v>9.8173000000000012</v>
      </c>
      <c r="L161" s="635">
        <f t="shared" si="30"/>
        <v>10.462340000000001</v>
      </c>
      <c r="M161" s="635">
        <f t="shared" si="31"/>
        <v>9.8173000000000012</v>
      </c>
      <c r="N161" s="636">
        <f t="shared" si="32"/>
        <v>0.60335840124669671</v>
      </c>
      <c r="O161" s="635">
        <f t="shared" si="33"/>
        <v>1</v>
      </c>
      <c r="P161" s="637">
        <f t="shared" si="34"/>
        <v>215.7188933764175</v>
      </c>
      <c r="Q161" s="637">
        <f t="shared" si="35"/>
        <v>174.25898013406629</v>
      </c>
      <c r="R161" s="635">
        <f t="shared" si="36"/>
        <v>1.5678959582116263</v>
      </c>
      <c r="S161" s="637">
        <f t="shared" si="37"/>
        <v>189.14080983012173</v>
      </c>
      <c r="T161" s="644">
        <f t="shared" si="38"/>
        <v>2563.4595162897613</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548">
        <f t="shared" si="39"/>
        <v>0</v>
      </c>
      <c r="I162" s="27">
        <f>IF(Weather_Site!M160&lt;180,Weather_Site!M160+180,Weather_Site!M160-180)</f>
        <v>278</v>
      </c>
      <c r="J162" s="635">
        <f t="shared" si="28"/>
        <v>6.7099500000000001</v>
      </c>
      <c r="K162" s="635">
        <f t="shared" si="29"/>
        <v>8.4858000000000011</v>
      </c>
      <c r="L162" s="635">
        <f t="shared" si="30"/>
        <v>8.9169500000000017</v>
      </c>
      <c r="M162" s="635">
        <f t="shared" si="31"/>
        <v>8.4858000000000011</v>
      </c>
      <c r="N162" s="636">
        <f t="shared" si="32"/>
        <v>0.75025305761814676</v>
      </c>
      <c r="O162" s="635">
        <f t="shared" si="33"/>
        <v>1</v>
      </c>
      <c r="P162" s="637">
        <f t="shared" si="34"/>
        <v>429.40322530620961</v>
      </c>
      <c r="Q162" s="637">
        <f t="shared" si="35"/>
        <v>181.03815141505112</v>
      </c>
      <c r="R162" s="635">
        <f t="shared" si="36"/>
        <v>2.5791565107914134</v>
      </c>
      <c r="S162" s="637">
        <f t="shared" si="37"/>
        <v>436.39796464677329</v>
      </c>
      <c r="T162" s="644">
        <f t="shared" si="38"/>
        <v>5102.7416607221239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548">
        <f t="shared" si="39"/>
        <v>0</v>
      </c>
      <c r="I163" s="27">
        <f>IF(Weather_Site!M161&lt;180,Weather_Site!M161+180,Weather_Site!M161-180)</f>
        <v>259</v>
      </c>
      <c r="J163" s="635">
        <f t="shared" si="28"/>
        <v>6.1721199999999996</v>
      </c>
      <c r="K163" s="635">
        <f t="shared" si="29"/>
        <v>7.6962000000000002</v>
      </c>
      <c r="L163" s="635">
        <f t="shared" si="30"/>
        <v>8.0046800000000005</v>
      </c>
      <c r="M163" s="635">
        <f t="shared" si="31"/>
        <v>7.6962000000000002</v>
      </c>
      <c r="N163" s="636">
        <f t="shared" si="32"/>
        <v>0.86820116000692416</v>
      </c>
      <c r="O163" s="635">
        <f t="shared" si="33"/>
        <v>1</v>
      </c>
      <c r="P163" s="637">
        <f t="shared" si="34"/>
        <v>310.40819698181178</v>
      </c>
      <c r="Q163" s="637">
        <f t="shared" si="35"/>
        <v>270.89791045409686</v>
      </c>
      <c r="R163" s="635">
        <f t="shared" si="36"/>
        <v>2.0397820878417341</v>
      </c>
      <c r="S163" s="637">
        <f t="shared" si="37"/>
        <v>132.05827753016592</v>
      </c>
      <c r="T163" s="644">
        <f t="shared" si="38"/>
        <v>3688.6840741338629</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548">
        <f t="shared" si="39"/>
        <v>0</v>
      </c>
      <c r="I164" s="27">
        <f>IF(Weather_Site!M162&lt;180,Weather_Site!M162+180,Weather_Site!M162-180)</f>
        <v>241</v>
      </c>
      <c r="J164" s="635">
        <f t="shared" si="28"/>
        <v>5.2356199999999991</v>
      </c>
      <c r="K164" s="635">
        <f t="shared" si="29"/>
        <v>6.3613</v>
      </c>
      <c r="L164" s="635">
        <f t="shared" si="30"/>
        <v>6.4539799999999996</v>
      </c>
      <c r="M164" s="635">
        <f t="shared" si="31"/>
        <v>6.3613</v>
      </c>
      <c r="N164" s="636">
        <f t="shared" si="32"/>
        <v>1.1542567180226482</v>
      </c>
      <c r="O164" s="635">
        <f t="shared" si="33"/>
        <v>1</v>
      </c>
      <c r="P164" s="637">
        <f t="shared" si="34"/>
        <v>778.2501933297691</v>
      </c>
      <c r="Q164" s="637">
        <f t="shared" si="35"/>
        <v>373.40943794332566</v>
      </c>
      <c r="R164" s="635">
        <f t="shared" si="36"/>
        <v>3.9645627146945683</v>
      </c>
      <c r="S164" s="637">
        <f t="shared" si="37"/>
        <v>1413.3740901142783</v>
      </c>
      <c r="T164" s="644">
        <f t="shared" si="38"/>
        <v>9248.2064640687568</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548">
        <f t="shared" si="39"/>
        <v>0</v>
      </c>
      <c r="I165" s="27">
        <f>IF(Weather_Site!M163&lt;180,Weather_Site!M163+180,Weather_Site!M163-180)</f>
        <v>236</v>
      </c>
      <c r="J165" s="635">
        <f t="shared" si="28"/>
        <v>4.6432699999999993</v>
      </c>
      <c r="K165" s="635">
        <f t="shared" si="29"/>
        <v>5.5052000000000003</v>
      </c>
      <c r="L165" s="635">
        <f t="shared" si="30"/>
        <v>5.4620300000000004</v>
      </c>
      <c r="M165" s="635">
        <f t="shared" si="31"/>
        <v>5.5052000000000003</v>
      </c>
      <c r="N165" s="636">
        <f t="shared" si="32"/>
        <v>1.4326750951790366</v>
      </c>
      <c r="O165" s="635">
        <f t="shared" si="33"/>
        <v>1</v>
      </c>
      <c r="P165" s="637">
        <f t="shared" si="34"/>
        <v>1037.5160114474681</v>
      </c>
      <c r="Q165" s="637">
        <f t="shared" si="35"/>
        <v>463.47956541476043</v>
      </c>
      <c r="R165" s="635">
        <f t="shared" si="36"/>
        <v>4.88067994900402</v>
      </c>
      <c r="S165" s="637">
        <f t="shared" si="37"/>
        <v>2026.697360714611</v>
      </c>
      <c r="T165" s="644">
        <f t="shared" si="38"/>
        <v>12329.148602700745</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548">
        <f t="shared" si="39"/>
        <v>0</v>
      </c>
      <c r="I166" s="27">
        <f>IF(Weather_Site!M164&lt;180,Weather_Site!M164+180,Weather_Site!M164-180)</f>
        <v>270</v>
      </c>
      <c r="J166" s="635">
        <f t="shared" si="28"/>
        <v>4.3920200000000005</v>
      </c>
      <c r="K166" s="635">
        <f t="shared" si="29"/>
        <v>5.1334999999999997</v>
      </c>
      <c r="L166" s="635">
        <f t="shared" si="30"/>
        <v>5.0331799999999998</v>
      </c>
      <c r="M166" s="635">
        <f t="shared" si="31"/>
        <v>5.1334999999999997</v>
      </c>
      <c r="N166" s="636">
        <f t="shared" si="32"/>
        <v>1.5905056493218346</v>
      </c>
      <c r="O166" s="635">
        <f t="shared" si="33"/>
        <v>1</v>
      </c>
      <c r="P166" s="637">
        <f t="shared" si="34"/>
        <v>1151.8138920833537</v>
      </c>
      <c r="Q166" s="637">
        <f t="shared" si="35"/>
        <v>532.68711664478724</v>
      </c>
      <c r="R166" s="635">
        <f t="shared" si="36"/>
        <v>5.2637529220290373</v>
      </c>
      <c r="S166" s="637">
        <f t="shared" si="37"/>
        <v>2288.1591115041938</v>
      </c>
      <c r="T166" s="644">
        <f t="shared" si="38"/>
        <v>13687.38841759052</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548">
        <f t="shared" si="39"/>
        <v>0</v>
      </c>
      <c r="I167" s="27">
        <f>IF(Weather_Site!M165&lt;180,Weather_Site!M165+180,Weather_Site!M165-180)</f>
        <v>297</v>
      </c>
      <c r="J167" s="635">
        <f t="shared" si="28"/>
        <v>4.1711799999999988</v>
      </c>
      <c r="K167" s="635">
        <f t="shared" si="29"/>
        <v>4.8090999999999999</v>
      </c>
      <c r="L167" s="635">
        <f t="shared" si="30"/>
        <v>4.6584199999999996</v>
      </c>
      <c r="M167" s="635">
        <f t="shared" si="31"/>
        <v>4.1711799999999988</v>
      </c>
      <c r="N167" s="636">
        <f t="shared" si="32"/>
        <v>2.1692839107728163</v>
      </c>
      <c r="O167" s="635">
        <f t="shared" si="33"/>
        <v>1</v>
      </c>
      <c r="P167" s="637">
        <f t="shared" si="34"/>
        <v>1678.0064895874841</v>
      </c>
      <c r="Q167" s="637">
        <f t="shared" si="35"/>
        <v>751.12976601229536</v>
      </c>
      <c r="R167" s="635">
        <f t="shared" si="36"/>
        <v>6.9094246119044218</v>
      </c>
      <c r="S167" s="637">
        <f t="shared" si="37"/>
        <v>3316.4400266000075</v>
      </c>
      <c r="T167" s="644">
        <f t="shared" si="38"/>
        <v>19940.310451264602</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548">
        <f t="shared" si="39"/>
        <v>0</v>
      </c>
      <c r="I168" s="27">
        <f>IF(Weather_Site!M166&lt;180,Weather_Site!M166+180,Weather_Site!M166-180)</f>
        <v>311</v>
      </c>
      <c r="J168" s="635">
        <f t="shared" si="28"/>
        <v>3.9044799999999995</v>
      </c>
      <c r="K168" s="635">
        <f t="shared" si="29"/>
        <v>4.4260999999999999</v>
      </c>
      <c r="L168" s="635">
        <f t="shared" si="30"/>
        <v>4.2141200000000003</v>
      </c>
      <c r="M168" s="635">
        <f t="shared" si="31"/>
        <v>3.9044799999999995</v>
      </c>
      <c r="N168" s="636">
        <f t="shared" si="32"/>
        <v>2.3945091993333545</v>
      </c>
      <c r="O168" s="635">
        <f t="shared" si="33"/>
        <v>1</v>
      </c>
      <c r="P168" s="637">
        <f t="shared" si="34"/>
        <v>1969.1070546978749</v>
      </c>
      <c r="Q168" s="637">
        <f t="shared" si="35"/>
        <v>774.63905586352109</v>
      </c>
      <c r="R168" s="635">
        <f t="shared" si="36"/>
        <v>7.7566252201285666</v>
      </c>
      <c r="S168" s="637">
        <f t="shared" si="37"/>
        <v>3791.3420188683513</v>
      </c>
      <c r="T168" s="644">
        <f t="shared" si="38"/>
        <v>23399.555499993083</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548">
        <f t="shared" si="39"/>
        <v>0</v>
      </c>
      <c r="I169" s="27">
        <f>IF(Weather_Site!M167&lt;180,Weather_Site!M167+180,Weather_Site!M167-180)</f>
        <v>356</v>
      </c>
      <c r="J169" s="635">
        <f t="shared" si="28"/>
        <v>3.8101999999999996</v>
      </c>
      <c r="K169" s="635">
        <f t="shared" si="29"/>
        <v>4.2898000000000005</v>
      </c>
      <c r="L169" s="635">
        <f t="shared" si="30"/>
        <v>4.0562000000000005</v>
      </c>
      <c r="M169" s="635">
        <f t="shared" si="31"/>
        <v>3.8101999999999996</v>
      </c>
      <c r="N169" s="636">
        <f t="shared" si="32"/>
        <v>2.4836281726566822</v>
      </c>
      <c r="O169" s="635">
        <f t="shared" si="33"/>
        <v>1</v>
      </c>
      <c r="P169" s="637">
        <f t="shared" si="34"/>
        <v>1798.5962094855222</v>
      </c>
      <c r="Q169" s="637">
        <f t="shared" si="35"/>
        <v>831.80888459865196</v>
      </c>
      <c r="R169" s="635">
        <f t="shared" si="36"/>
        <v>7.26495836798426</v>
      </c>
      <c r="S169" s="637">
        <f t="shared" si="37"/>
        <v>3583.3887467040076</v>
      </c>
      <c r="T169" s="644">
        <f t="shared" si="38"/>
        <v>21373.31828938629</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548">
        <f t="shared" si="39"/>
        <v>0</v>
      </c>
      <c r="I170" s="27">
        <f>IF(Weather_Site!M168&lt;180,Weather_Site!M168+180,Weather_Site!M168-180)</f>
        <v>8</v>
      </c>
      <c r="J170" s="635">
        <f t="shared" si="28"/>
        <v>3.6997799999999996</v>
      </c>
      <c r="K170" s="635">
        <f t="shared" si="29"/>
        <v>4.1276000000000002</v>
      </c>
      <c r="L170" s="635">
        <f t="shared" si="30"/>
        <v>3.8688199999999999</v>
      </c>
      <c r="M170" s="635">
        <f t="shared" si="31"/>
        <v>3.6997799999999996</v>
      </c>
      <c r="N170" s="636">
        <f t="shared" si="32"/>
        <v>2.5952579294855855</v>
      </c>
      <c r="O170" s="635">
        <f t="shared" si="33"/>
        <v>1</v>
      </c>
      <c r="P170" s="637">
        <f t="shared" si="34"/>
        <v>2007.5102323875869</v>
      </c>
      <c r="Q170" s="637">
        <f t="shared" si="35"/>
        <v>839.58255528052871</v>
      </c>
      <c r="R170" s="635">
        <f t="shared" si="36"/>
        <v>7.865704915902783</v>
      </c>
      <c r="S170" s="637">
        <f t="shared" si="37"/>
        <v>3902.8318135597146</v>
      </c>
      <c r="T170" s="644">
        <f t="shared" si="38"/>
        <v>23855.913261539154</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548">
        <f t="shared" si="39"/>
        <v>0</v>
      </c>
      <c r="I171" s="27">
        <f>IF(Weather_Site!M169&lt;180,Weather_Site!M169+180,Weather_Site!M169-180)</f>
        <v>15</v>
      </c>
      <c r="J171" s="635">
        <f t="shared" si="28"/>
        <v>3.6625799999999993</v>
      </c>
      <c r="K171" s="635">
        <f t="shared" si="29"/>
        <v>4.0769000000000002</v>
      </c>
      <c r="L171" s="635">
        <f t="shared" si="30"/>
        <v>3.8094199999999998</v>
      </c>
      <c r="M171" s="635">
        <f t="shared" si="31"/>
        <v>3.6625799999999993</v>
      </c>
      <c r="N171" s="636">
        <f t="shared" si="32"/>
        <v>2.6347642010891641</v>
      </c>
      <c r="O171" s="635">
        <f t="shared" si="33"/>
        <v>1</v>
      </c>
      <c r="P171" s="637">
        <f t="shared" si="34"/>
        <v>1908.046042132808</v>
      </c>
      <c r="Q171" s="637">
        <f t="shared" si="35"/>
        <v>912.30558067276286</v>
      </c>
      <c r="R171" s="635">
        <f t="shared" si="36"/>
        <v>7.5819658235223608</v>
      </c>
      <c r="S171" s="637">
        <f t="shared" si="37"/>
        <v>3778.9155848099108</v>
      </c>
      <c r="T171" s="644">
        <f t="shared" si="38"/>
        <v>22673.947134011534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548">
        <f t="shared" si="39"/>
        <v>0</v>
      </c>
      <c r="I172" s="27">
        <f>IF(Weather_Site!M170&lt;180,Weather_Site!M170+180,Weather_Site!M170-180)</f>
        <v>11</v>
      </c>
      <c r="J172" s="635">
        <f t="shared" si="28"/>
        <v>3.7395399999999999</v>
      </c>
      <c r="K172" s="635">
        <f t="shared" si="29"/>
        <v>4.1974000000000009</v>
      </c>
      <c r="L172" s="635">
        <f t="shared" si="30"/>
        <v>3.9470600000000005</v>
      </c>
      <c r="M172" s="635">
        <f t="shared" si="31"/>
        <v>4.1974000000000009</v>
      </c>
      <c r="N172" s="636">
        <f t="shared" si="32"/>
        <v>2.1490566421773432</v>
      </c>
      <c r="O172" s="635">
        <f t="shared" si="33"/>
        <v>1</v>
      </c>
      <c r="P172" s="637">
        <f t="shared" si="34"/>
        <v>1767.2609469342901</v>
      </c>
      <c r="Q172" s="637">
        <f t="shared" si="35"/>
        <v>670.55307068317791</v>
      </c>
      <c r="R172" s="635">
        <f t="shared" si="36"/>
        <v>7.1732253687631058</v>
      </c>
      <c r="S172" s="637">
        <f t="shared" si="37"/>
        <v>3437.1909152475046</v>
      </c>
      <c r="T172" s="644">
        <f t="shared" si="38"/>
        <v>21000.950919402479</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548">
        <f t="shared" si="39"/>
        <v>0</v>
      </c>
      <c r="I173" s="27">
        <f>IF(Weather_Site!M171&lt;180,Weather_Site!M171+180,Weather_Site!M171-180)</f>
        <v>5</v>
      </c>
      <c r="J173" s="635">
        <f t="shared" si="28"/>
        <v>3.8412999999999999</v>
      </c>
      <c r="K173" s="635">
        <f t="shared" si="29"/>
        <v>4.3517000000000001</v>
      </c>
      <c r="L173" s="635">
        <f t="shared" si="30"/>
        <v>4.1242999999999999</v>
      </c>
      <c r="M173" s="635">
        <f t="shared" si="31"/>
        <v>4.3517000000000001</v>
      </c>
      <c r="N173" s="636">
        <f t="shared" si="32"/>
        <v>2.0361434442261048</v>
      </c>
      <c r="O173" s="635">
        <f t="shared" si="33"/>
        <v>1</v>
      </c>
      <c r="P173" s="637">
        <f t="shared" si="34"/>
        <v>1372.8566655697953</v>
      </c>
      <c r="Q173" s="637">
        <f t="shared" si="35"/>
        <v>611.77916618648339</v>
      </c>
      <c r="R173" s="635">
        <f t="shared" si="36"/>
        <v>5.9761171301100795</v>
      </c>
      <c r="S173" s="637">
        <f t="shared" si="37"/>
        <v>2805.2484361383131</v>
      </c>
      <c r="T173" s="644">
        <f t="shared" si="38"/>
        <v>16314.113375854398</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548">
        <f t="shared" si="39"/>
        <v>0</v>
      </c>
      <c r="I174" s="27">
        <f>IF(Weather_Site!M172&lt;180,Weather_Site!M172+180,Weather_Site!M172-180)</f>
        <v>355</v>
      </c>
      <c r="J174" s="635">
        <f t="shared" si="28"/>
        <v>4.1192200000000003</v>
      </c>
      <c r="K174" s="635">
        <f t="shared" si="29"/>
        <v>4.7617000000000003</v>
      </c>
      <c r="L174" s="635">
        <f t="shared" si="30"/>
        <v>4.5975800000000007</v>
      </c>
      <c r="M174" s="635">
        <f t="shared" si="31"/>
        <v>4.5975800000000007</v>
      </c>
      <c r="N174" s="636">
        <f t="shared" si="32"/>
        <v>1.8755221685491141</v>
      </c>
      <c r="O174" s="635">
        <f t="shared" si="33"/>
        <v>1</v>
      </c>
      <c r="P174" s="637">
        <f t="shared" si="34"/>
        <v>1169.6814759346823</v>
      </c>
      <c r="Q174" s="637">
        <f t="shared" si="35"/>
        <v>541.67900809020239</v>
      </c>
      <c r="R174" s="635">
        <f t="shared" si="36"/>
        <v>5.3226629662730716</v>
      </c>
      <c r="S174" s="637">
        <f t="shared" si="37"/>
        <v>2409.8723633406698</v>
      </c>
      <c r="T174" s="644">
        <f t="shared" si="38"/>
        <v>13899.714872357141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548">
        <f t="shared" si="39"/>
        <v>0</v>
      </c>
      <c r="I175" s="27">
        <f>IF(Weather_Site!M173&lt;180,Weather_Site!M173+180,Weather_Site!M173-180)</f>
        <v>355</v>
      </c>
      <c r="J175" s="635">
        <f t="shared" si="28"/>
        <v>4.6142399999999997</v>
      </c>
      <c r="K175" s="635">
        <f t="shared" si="29"/>
        <v>5.4871000000000008</v>
      </c>
      <c r="L175" s="635">
        <f t="shared" si="30"/>
        <v>5.4359599999999997</v>
      </c>
      <c r="M175" s="635">
        <f t="shared" si="31"/>
        <v>5.4359599999999997</v>
      </c>
      <c r="N175" s="636">
        <f t="shared" si="32"/>
        <v>1.4600425091278002</v>
      </c>
      <c r="O175" s="635">
        <f t="shared" si="33"/>
        <v>1</v>
      </c>
      <c r="P175" s="637">
        <f t="shared" si="34"/>
        <v>835.64732744180708</v>
      </c>
      <c r="Q175" s="637">
        <f t="shared" si="35"/>
        <v>421.68223408720883</v>
      </c>
      <c r="R175" s="635">
        <f t="shared" si="36"/>
        <v>4.1738682225524517</v>
      </c>
      <c r="S175" s="637">
        <f t="shared" si="37"/>
        <v>1637.4665375963341</v>
      </c>
      <c r="T175" s="644">
        <f t="shared" si="38"/>
        <v>9930.2757411001403</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548">
        <f t="shared" si="39"/>
        <v>0</v>
      </c>
      <c r="I176" s="27">
        <f>IF(Weather_Site!M174&lt;180,Weather_Site!M174+180,Weather_Site!M174-180)</f>
        <v>335</v>
      </c>
      <c r="J176" s="635">
        <f t="shared" si="28"/>
        <v>5.1551199999999993</v>
      </c>
      <c r="K176" s="635">
        <f t="shared" si="29"/>
        <v>6.2711000000000006</v>
      </c>
      <c r="L176" s="635">
        <f t="shared" si="30"/>
        <v>6.3438799999999995</v>
      </c>
      <c r="M176" s="635">
        <f t="shared" si="31"/>
        <v>6.3438799999999995</v>
      </c>
      <c r="N176" s="636">
        <f t="shared" si="32"/>
        <v>1.1589983922758917</v>
      </c>
      <c r="O176" s="635">
        <f t="shared" si="33"/>
        <v>1</v>
      </c>
      <c r="P176" s="637">
        <f t="shared" si="34"/>
        <v>663.34637721833906</v>
      </c>
      <c r="Q176" s="637">
        <f t="shared" si="35"/>
        <v>348.23237628403689</v>
      </c>
      <c r="R176" s="635">
        <f t="shared" si="36"/>
        <v>3.5321111786192101</v>
      </c>
      <c r="S176" s="637">
        <f t="shared" si="37"/>
        <v>1160.6123275579357</v>
      </c>
      <c r="T176" s="644">
        <f t="shared" si="38"/>
        <v>7882.7661159445952</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548">
        <f t="shared" si="39"/>
        <v>0</v>
      </c>
      <c r="I177" s="27">
        <f>IF(Weather_Site!M175&lt;180,Weather_Site!M175+180,Weather_Site!M175-180)</f>
        <v>332</v>
      </c>
      <c r="J177" s="635">
        <f t="shared" si="28"/>
        <v>5.6581099999999998</v>
      </c>
      <c r="K177" s="635">
        <f t="shared" si="29"/>
        <v>6.9897999999999998</v>
      </c>
      <c r="L177" s="635">
        <f t="shared" si="30"/>
        <v>7.1783900000000003</v>
      </c>
      <c r="M177" s="635">
        <f t="shared" si="31"/>
        <v>7.1783900000000003</v>
      </c>
      <c r="N177" s="636">
        <f t="shared" si="32"/>
        <v>0.96348078623003719</v>
      </c>
      <c r="O177" s="635">
        <f t="shared" si="33"/>
        <v>1</v>
      </c>
      <c r="P177" s="637">
        <f t="shared" si="34"/>
        <v>600.88099568775976</v>
      </c>
      <c r="Q177" s="637">
        <f t="shared" si="35"/>
        <v>278.26774076618335</v>
      </c>
      <c r="R177" s="635">
        <f t="shared" si="36"/>
        <v>3.2883659801409832</v>
      </c>
      <c r="S177" s="637">
        <f t="shared" si="37"/>
        <v>945.33623811651796</v>
      </c>
      <c r="T177" s="644">
        <f t="shared" si="38"/>
        <v>7140.4691654228782</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548">
        <f t="shared" si="39"/>
        <v>0</v>
      </c>
      <c r="I178" s="27">
        <f>IF(Weather_Site!M176&lt;180,Weather_Site!M176+180,Weather_Site!M176-180)</f>
        <v>340</v>
      </c>
      <c r="J178" s="635">
        <f t="shared" si="28"/>
        <v>6.2249699999999999</v>
      </c>
      <c r="K178" s="635">
        <f t="shared" si="29"/>
        <v>7.7975000000000012</v>
      </c>
      <c r="L178" s="635">
        <f t="shared" si="30"/>
        <v>8.1167300000000004</v>
      </c>
      <c r="M178" s="635">
        <f t="shared" si="31"/>
        <v>8.1167300000000004</v>
      </c>
      <c r="N178" s="636">
        <f t="shared" si="32"/>
        <v>0.80182345086656848</v>
      </c>
      <c r="O178" s="635">
        <f t="shared" si="33"/>
        <v>1</v>
      </c>
      <c r="P178" s="637">
        <f t="shared" si="34"/>
        <v>458.91925721880818</v>
      </c>
      <c r="Q178" s="637">
        <f t="shared" si="35"/>
        <v>240.9156798804818</v>
      </c>
      <c r="R178" s="635">
        <f t="shared" si="36"/>
        <v>2.706147196311897</v>
      </c>
      <c r="S178" s="637">
        <f t="shared" si="37"/>
        <v>532.70097096664085</v>
      </c>
      <c r="T178" s="644">
        <f t="shared" si="38"/>
        <v>5453.4905066168376</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548">
        <f t="shared" si="39"/>
        <v>0</v>
      </c>
      <c r="I179" s="27">
        <f>IF(Weather_Site!M177&lt;180,Weather_Site!M177+180,Weather_Site!M177-180)</f>
        <v>10</v>
      </c>
      <c r="J179" s="635">
        <f t="shared" si="28"/>
        <v>6.6783599999999996</v>
      </c>
      <c r="K179" s="635">
        <f t="shared" si="29"/>
        <v>8.4486000000000008</v>
      </c>
      <c r="L179" s="635">
        <f t="shared" si="30"/>
        <v>8.8720400000000001</v>
      </c>
      <c r="M179" s="635">
        <f t="shared" si="31"/>
        <v>8.8720400000000001</v>
      </c>
      <c r="N179" s="636">
        <f t="shared" si="32"/>
        <v>0.7019535559219543</v>
      </c>
      <c r="O179" s="635">
        <f t="shared" si="33"/>
        <v>1</v>
      </c>
      <c r="P179" s="637">
        <f t="shared" si="34"/>
        <v>437.77785466729824</v>
      </c>
      <c r="Q179" s="637">
        <f t="shared" si="35"/>
        <v>21.058606677658631</v>
      </c>
      <c r="R179" s="635">
        <f t="shared" si="36"/>
        <v>2.6154268201916038</v>
      </c>
      <c r="S179" s="637">
        <f t="shared" si="37"/>
        <v>439.31396923056764</v>
      </c>
      <c r="T179" s="644">
        <f t="shared" si="38"/>
        <v>5202.2601729630605</v>
      </c>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fuCIb8Z8VNd8lMd71tQdEP+/heKjjHCKEfRd7m6zBdI2sbIuxsY8bfKwdDjymgD2mZotgEYmDqcmewnCbfOVLw==" saltValue="8HycRVgZf0IC8sTqIJSkvw=="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T14" sqref="T14"/>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IF(AND(OR(MONTH(B14)&gt;10,MONTH(B14)&lt;3),AND(HOUR(C14)&gt;=13,HOUR(C14)&lt;=17)),J14,IF(OR(HOUR(C14)&lt;6,HOUR(C14)&gt;=20),L14,K14))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78" si="1">((1.6779*D15^0.09655)*(196.1*D15^0.3204)+(18.944*317433^(1/D15))*E15^(1.5002*0.0196^(1/D15)))/((196.1*D15^0.3204)+E15^(1.5002*0.0196^(1/D15)))</f>
        <v>5.1898227944031854</v>
      </c>
      <c r="K15" s="32">
        <f t="shared" ref="K15:K78" si="2">((2.143+0.0322*D15-0.0006135*D15^2)*(663.6+17.8*D15)+((193-1.366*D15)*E15^(0.9367+0.00487*D15)))/((663.6+17.8*D15)+E15^(0.9367+0.00487*D15))</f>
        <v>6.6533659314286835</v>
      </c>
      <c r="L15" s="32">
        <f t="shared" ref="L15:L78" si="3">(2.943-0.0415*D15)+(0.196*1.2256^(1/D15))*E15</f>
        <v>6.7874021737989096</v>
      </c>
      <c r="M15" s="32">
        <f t="shared" ref="M15:M78" si="4">IF(AND(OR(MONTH(B15)&gt;10,MONTH(B15)&lt;3),AND(HOUR(C15)&gt;=13,HOUR(C15)&lt;=17)),J15,IF(OR(HOUR(C15)&lt;6,HOUR(C15)&gt;=20),L15,K15))</f>
        <v>6.7874021737989096</v>
      </c>
      <c r="N15" s="31">
        <f t="shared" ref="N15:N78" si="5">M15^-1.495/0.0545</f>
        <v>1.0476268988785697</v>
      </c>
      <c r="O15" s="32">
        <f t="shared" ref="O15:O78" si="6">EXP(0.069*H15)</f>
        <v>1</v>
      </c>
      <c r="P15" s="33">
        <f t="shared" ref="P15:P78" si="7">(30+3.102*(IF(G15&lt;5,0,G15-5))^0.904*EXP(0.279*$D$6+0.611*$D$7+0.013*$C$8))*N15*O15</f>
        <v>351.13094012633343</v>
      </c>
      <c r="Q15" s="33">
        <f t="shared" ref="Q15:Q78" si="8">(30+3.102*(IF((0.2*G15+4)&lt;5,0,(0.2*G15+6)-5))^0.904*EXP(0.279*$D$6+0.611*$D$7+0.013*$C$8))*N15</f>
        <v>186.756769833466</v>
      </c>
      <c r="R15" s="32">
        <f t="shared" ref="R15:R78" si="9">0.0193*P15^0.723*EXP(0.64*$C$10)</f>
        <v>2.2299249283226392</v>
      </c>
      <c r="S15" s="33">
        <f t="shared" ref="S15:S78" si="10">MAX(50,ABS(176.969*(ATAN($D$6)*(P15/G15^0.25)^0.5)+1568800*($D$6^-1*(P15/G15^0.25)^-1.5)-3015.09))</f>
        <v>198.71513771077116</v>
      </c>
      <c r="T15" s="322">
        <f t="shared" ref="T15:T78" si="11">18600*P15/3600*F$11/10</f>
        <v>4172.6060051679287</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7.1856164696254314</v>
      </c>
      <c r="N16" s="31">
        <f t="shared" si="5"/>
        <v>0.96203255379880448</v>
      </c>
      <c r="O16" s="32">
        <f t="shared" si="6"/>
        <v>1</v>
      </c>
      <c r="P16" s="33">
        <f t="shared" si="7"/>
        <v>420.38129080436005</v>
      </c>
      <c r="Q16" s="33">
        <f t="shared" si="8"/>
        <v>192.82654984000064</v>
      </c>
      <c r="R16" s="32">
        <f t="shared" si="9"/>
        <v>2.5398627402827874</v>
      </c>
      <c r="S16" s="33">
        <f t="shared" si="10"/>
        <v>361.17563019175077</v>
      </c>
      <c r="T16" s="322">
        <f t="shared" si="11"/>
        <v>4995.5310057251454</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7.3291234450641936</v>
      </c>
      <c r="N17" s="31">
        <f t="shared" si="5"/>
        <v>0.93400822991017862</v>
      </c>
      <c r="O17" s="32">
        <f t="shared" si="6"/>
        <v>1</v>
      </c>
      <c r="P17" s="33">
        <f t="shared" si="7"/>
        <v>680.59063686396132</v>
      </c>
      <c r="Q17" s="33">
        <f t="shared" si="8"/>
        <v>247.77839077358882</v>
      </c>
      <c r="R17" s="32">
        <f t="shared" si="9"/>
        <v>3.5982608207942595</v>
      </c>
      <c r="S17" s="33">
        <f t="shared" si="10"/>
        <v>939.73565231013936</v>
      </c>
      <c r="T17" s="322">
        <f t="shared" si="11"/>
        <v>8087.6854014000737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180">
        <f t="shared" ref="H19:H50" si="12">C$4</f>
        <v>0</v>
      </c>
      <c r="I19" s="48">
        <f>IF(Weather_Site!M17&lt;180,Weather_Site!M17+180,Weather_Site!M17-180)</f>
        <v>148</v>
      </c>
      <c r="J19" s="51">
        <f t="shared" si="1"/>
        <v>5.588558397712406</v>
      </c>
      <c r="K19" s="51">
        <f t="shared" si="2"/>
        <v>7.113773940154374</v>
      </c>
      <c r="L19" s="51">
        <f t="shared" si="3"/>
        <v>7.3219025740616974</v>
      </c>
      <c r="M19" s="51">
        <f t="shared" si="4"/>
        <v>7.113773940154374</v>
      </c>
      <c r="N19" s="54">
        <f t="shared" si="5"/>
        <v>0.97659367629279703</v>
      </c>
      <c r="O19" s="51">
        <f t="shared" si="6"/>
        <v>1</v>
      </c>
      <c r="P19" s="52">
        <f t="shared" si="7"/>
        <v>773.01797396322934</v>
      </c>
      <c r="Q19" s="52">
        <f t="shared" si="8"/>
        <v>272.88034713479846</v>
      </c>
      <c r="R19" s="51">
        <f t="shared" si="9"/>
        <v>3.9452738947483224</v>
      </c>
      <c r="S19" s="52">
        <f t="shared" si="10"/>
        <v>1139.1679900951203</v>
      </c>
      <c r="T19" s="321">
        <f t="shared" si="11"/>
        <v>9186.0302572630426</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180">
        <f t="shared" si="12"/>
        <v>0</v>
      </c>
      <c r="I20" s="48">
        <f>IF(Weather_Site!M18&lt;180,Weather_Site!M18+180,Weather_Site!M18-180)</f>
        <v>148</v>
      </c>
      <c r="J20" s="51">
        <f t="shared" si="1"/>
        <v>6.0841111410291715</v>
      </c>
      <c r="K20" s="51">
        <f t="shared" si="2"/>
        <v>7.7235676190501881</v>
      </c>
      <c r="L20" s="51">
        <f t="shared" si="3"/>
        <v>8.0402166482678918</v>
      </c>
      <c r="M20" s="51">
        <f t="shared" si="4"/>
        <v>7.7235676190501881</v>
      </c>
      <c r="N20" s="54">
        <f t="shared" si="5"/>
        <v>0.86360601362315315</v>
      </c>
      <c r="O20" s="51">
        <f t="shared" si="6"/>
        <v>1</v>
      </c>
      <c r="P20" s="52">
        <f t="shared" si="7"/>
        <v>1078.1500078294589</v>
      </c>
      <c r="Q20" s="52">
        <f t="shared" si="8"/>
        <v>330.81615454305364</v>
      </c>
      <c r="R20" s="51">
        <f t="shared" si="9"/>
        <v>5.0181442169673023</v>
      </c>
      <c r="S20" s="52">
        <f t="shared" si="10"/>
        <v>1593.836456605839</v>
      </c>
      <c r="T20" s="321">
        <f t="shared" si="11"/>
        <v>12812.015926373404</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180">
        <f t="shared" si="12"/>
        <v>0</v>
      </c>
      <c r="I21" s="48">
        <f>IF(Weather_Site!M19&lt;180,Weather_Site!M19+180,Weather_Site!M19-180)</f>
        <v>146</v>
      </c>
      <c r="J21" s="51">
        <f t="shared" si="1"/>
        <v>6.5033398152887498</v>
      </c>
      <c r="K21" s="51">
        <f t="shared" si="2"/>
        <v>8.2539670797027949</v>
      </c>
      <c r="L21" s="51">
        <f t="shared" si="3"/>
        <v>8.6632119885419492</v>
      </c>
      <c r="M21" s="51">
        <f t="shared" si="4"/>
        <v>8.2539670797027949</v>
      </c>
      <c r="N21" s="54">
        <f t="shared" si="5"/>
        <v>0.78197471919995343</v>
      </c>
      <c r="O21" s="51">
        <f t="shared" si="6"/>
        <v>1</v>
      </c>
      <c r="P21" s="52">
        <f t="shared" si="7"/>
        <v>999.48803340111181</v>
      </c>
      <c r="Q21" s="52">
        <f t="shared" si="8"/>
        <v>304.85105119536405</v>
      </c>
      <c r="R21" s="51">
        <f t="shared" si="9"/>
        <v>4.7506746379179878</v>
      </c>
      <c r="S21" s="52">
        <f t="shared" si="10"/>
        <v>1419.7016330805827</v>
      </c>
      <c r="T21" s="243">
        <f t="shared" si="11"/>
        <v>11877.249463583212</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180">
        <f t="shared" si="12"/>
        <v>0</v>
      </c>
      <c r="I22" s="48">
        <f>IF(Weather_Site!M20&lt;180,Weather_Site!M20+180,Weather_Site!M20-180)</f>
        <v>112</v>
      </c>
      <c r="J22" s="51">
        <f t="shared" si="1"/>
        <v>7.0145591821139677</v>
      </c>
      <c r="K22" s="51">
        <f t="shared" si="2"/>
        <v>8.9101890372017376</v>
      </c>
      <c r="L22" s="51">
        <f t="shared" si="3"/>
        <v>9.4329744317132764</v>
      </c>
      <c r="M22" s="51">
        <f t="shared" si="4"/>
        <v>8.9101890372017376</v>
      </c>
      <c r="N22" s="54">
        <f t="shared" si="5"/>
        <v>0.69746521902259218</v>
      </c>
      <c r="O22" s="51">
        <f t="shared" si="6"/>
        <v>1</v>
      </c>
      <c r="P22" s="52">
        <f t="shared" si="7"/>
        <v>932.78850678541573</v>
      </c>
      <c r="Q22" s="52">
        <f t="shared" si="8"/>
        <v>281.3402182136885</v>
      </c>
      <c r="R22" s="51">
        <f t="shared" si="9"/>
        <v>4.5192808098662489</v>
      </c>
      <c r="S22" s="52">
        <f t="shared" si="10"/>
        <v>1256.2631446499208</v>
      </c>
      <c r="T22" s="243">
        <f t="shared" si="11"/>
        <v>11084.636755633357</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180">
        <f t="shared" si="12"/>
        <v>0</v>
      </c>
      <c r="I23" s="48">
        <f>IF(Weather_Site!M21&lt;180,Weather_Site!M21+180,Weather_Site!M21-180)</f>
        <v>105</v>
      </c>
      <c r="J23" s="51">
        <f t="shared" si="1"/>
        <v>6.9102380152392788</v>
      </c>
      <c r="K23" s="51">
        <f t="shared" si="2"/>
        <v>8.775627630345884</v>
      </c>
      <c r="L23" s="51">
        <f t="shared" si="3"/>
        <v>9.2750744433704391</v>
      </c>
      <c r="M23" s="51">
        <f t="shared" si="4"/>
        <v>6.9102380152392788</v>
      </c>
      <c r="N23" s="54">
        <f t="shared" si="5"/>
        <v>1.0199090680807559</v>
      </c>
      <c r="O23" s="51">
        <f t="shared" si="6"/>
        <v>1</v>
      </c>
      <c r="P23" s="52">
        <f t="shared" si="7"/>
        <v>1212.3986994342588</v>
      </c>
      <c r="Q23" s="52">
        <f t="shared" si="8"/>
        <v>376.80935958614577</v>
      </c>
      <c r="R23" s="51">
        <f t="shared" si="9"/>
        <v>5.4625038068054943</v>
      </c>
      <c r="S23" s="52">
        <f t="shared" si="10"/>
        <v>1887.6534288214252</v>
      </c>
      <c r="T23" s="243">
        <f t="shared" si="11"/>
        <v>14407.337878277109</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180">
        <f t="shared" si="12"/>
        <v>0</v>
      </c>
      <c r="I24" s="27">
        <f>IF(Weather_Site!M22&lt;180,Weather_Site!M22+180,Weather_Site!M22-180)</f>
        <v>97</v>
      </c>
      <c r="J24" s="32">
        <f t="shared" si="1"/>
        <v>6.5556846826282742</v>
      </c>
      <c r="K24" s="32">
        <f t="shared" si="2"/>
        <v>8.298688829126398</v>
      </c>
      <c r="L24" s="32">
        <f t="shared" si="3"/>
        <v>8.7280985610248933</v>
      </c>
      <c r="M24" s="32">
        <f t="shared" si="4"/>
        <v>6.5556846826282742</v>
      </c>
      <c r="N24" s="31">
        <f t="shared" si="5"/>
        <v>1.1034673896606428</v>
      </c>
      <c r="O24" s="32">
        <f t="shared" si="6"/>
        <v>1</v>
      </c>
      <c r="P24" s="33">
        <f t="shared" si="7"/>
        <v>1377.5996878610422</v>
      </c>
      <c r="Q24" s="33">
        <f t="shared" si="8"/>
        <v>422.69835173992635</v>
      </c>
      <c r="R24" s="32">
        <f t="shared" si="9"/>
        <v>5.9910375076969613</v>
      </c>
      <c r="S24" s="33">
        <f t="shared" si="10"/>
        <v>2168.4375212724772</v>
      </c>
      <c r="T24" s="5">
        <f t="shared" si="11"/>
        <v>16370.476290748717</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180">
        <f t="shared" si="12"/>
        <v>0</v>
      </c>
      <c r="I25" s="27">
        <f>IF(Weather_Site!M23&lt;180,Weather_Site!M23+180,Weather_Site!M23-180)</f>
        <v>78</v>
      </c>
      <c r="J25" s="32">
        <f t="shared" si="1"/>
        <v>5.7741302599704003</v>
      </c>
      <c r="K25" s="32">
        <f t="shared" si="2"/>
        <v>7.2979269829712896</v>
      </c>
      <c r="L25" s="32">
        <f t="shared" si="3"/>
        <v>7.5512095458966124</v>
      </c>
      <c r="M25" s="32">
        <f t="shared" si="4"/>
        <v>5.7741302599704003</v>
      </c>
      <c r="N25" s="31">
        <f t="shared" si="5"/>
        <v>1.3340775168907713</v>
      </c>
      <c r="O25" s="32">
        <f t="shared" si="6"/>
        <v>1</v>
      </c>
      <c r="P25" s="33">
        <f t="shared" si="7"/>
        <v>1465.5714589928746</v>
      </c>
      <c r="Q25" s="33">
        <f t="shared" si="8"/>
        <v>465.49834212952436</v>
      </c>
      <c r="R25" s="32">
        <f t="shared" si="9"/>
        <v>6.2652606569173619</v>
      </c>
      <c r="S25" s="33">
        <f t="shared" si="10"/>
        <v>2409.3359994443363</v>
      </c>
      <c r="T25" s="5">
        <f t="shared" si="11"/>
        <v>17415.874171031996</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180">
        <f t="shared" si="12"/>
        <v>0</v>
      </c>
      <c r="I26" s="27">
        <f>IF(Weather_Site!M24&lt;180,Weather_Site!M24+180,Weather_Site!M24-180)</f>
        <v>81</v>
      </c>
      <c r="J26" s="32">
        <f t="shared" si="1"/>
        <v>5.1204677117322985</v>
      </c>
      <c r="K26" s="32">
        <f t="shared" si="2"/>
        <v>6.4468930665791104</v>
      </c>
      <c r="L26" s="32">
        <f t="shared" si="3"/>
        <v>6.5489859639952046</v>
      </c>
      <c r="M26" s="32">
        <f t="shared" si="4"/>
        <v>5.1204677117322985</v>
      </c>
      <c r="N26" s="31">
        <f t="shared" si="5"/>
        <v>1.5965613001096923</v>
      </c>
      <c r="O26" s="32">
        <f t="shared" si="6"/>
        <v>1</v>
      </c>
      <c r="P26" s="33">
        <f t="shared" si="7"/>
        <v>1753.9270727136477</v>
      </c>
      <c r="Q26" s="33">
        <f t="shared" si="8"/>
        <v>557.08654774523848</v>
      </c>
      <c r="R26" s="32">
        <f t="shared" si="9"/>
        <v>7.1340544734320277</v>
      </c>
      <c r="S26" s="33">
        <f t="shared" si="10"/>
        <v>2907.108215455617</v>
      </c>
      <c r="T26" s="5">
        <f t="shared" si="11"/>
        <v>20842.500047413843</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180">
        <f t="shared" si="12"/>
        <v>0</v>
      </c>
      <c r="I27" s="27">
        <f>IF(Weather_Site!M25&lt;180,Weather_Site!M25+180,Weather_Site!M25-180)</f>
        <v>63</v>
      </c>
      <c r="J27" s="32">
        <f t="shared" si="1"/>
        <v>4.7823629177094409</v>
      </c>
      <c r="K27" s="32">
        <f t="shared" si="2"/>
        <v>6.0206227505240957</v>
      </c>
      <c r="L27" s="32">
        <f t="shared" si="3"/>
        <v>6.0404125282554029</v>
      </c>
      <c r="M27" s="32">
        <f t="shared" si="4"/>
        <v>4.7823629177094409</v>
      </c>
      <c r="N27" s="31">
        <f t="shared" si="5"/>
        <v>1.768226581908467</v>
      </c>
      <c r="O27" s="32">
        <f t="shared" si="6"/>
        <v>1</v>
      </c>
      <c r="P27" s="33">
        <f t="shared" si="7"/>
        <v>1781.6338277088746</v>
      </c>
      <c r="Q27" s="33">
        <f t="shared" si="8"/>
        <v>580.44297871957156</v>
      </c>
      <c r="R27" s="32">
        <f t="shared" si="9"/>
        <v>7.2153569867646858</v>
      </c>
      <c r="S27" s="33">
        <f t="shared" si="10"/>
        <v>3015.1305214114973</v>
      </c>
      <c r="T27" s="5">
        <f t="shared" si="11"/>
        <v>21171.748652607126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180">
        <f t="shared" si="12"/>
        <v>0</v>
      </c>
      <c r="I28" s="27">
        <f>IF(Weather_Site!M26&lt;180,Weather_Site!M26+180,Weather_Site!M26-180)</f>
        <v>57</v>
      </c>
      <c r="J28" s="32">
        <f t="shared" si="1"/>
        <v>4.7032818891591432</v>
      </c>
      <c r="K28" s="32">
        <f t="shared" si="2"/>
        <v>5.9378265022182442</v>
      </c>
      <c r="L28" s="32">
        <f t="shared" si="3"/>
        <v>5.9404719652338613</v>
      </c>
      <c r="M28" s="32">
        <f t="shared" si="4"/>
        <v>5.9378265022182442</v>
      </c>
      <c r="N28" s="31">
        <f t="shared" si="5"/>
        <v>1.2794708020657124</v>
      </c>
      <c r="O28" s="32">
        <f t="shared" si="6"/>
        <v>1</v>
      </c>
      <c r="P28" s="33">
        <f t="shared" si="7"/>
        <v>1405.5824091035629</v>
      </c>
      <c r="Q28" s="33">
        <f t="shared" si="8"/>
        <v>446.44447539511793</v>
      </c>
      <c r="R28" s="32">
        <f t="shared" si="9"/>
        <v>6.0787768137098732</v>
      </c>
      <c r="S28" s="33">
        <f t="shared" si="10"/>
        <v>2300.2414147807585</v>
      </c>
      <c r="T28" s="5">
        <f t="shared" si="11"/>
        <v>16703.004294847338</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180">
        <f t="shared" si="12"/>
        <v>0</v>
      </c>
      <c r="I29" s="48">
        <f>IF(Weather_Site!M27&lt;180,Weather_Site!M27+180,Weather_Site!M27-180)</f>
        <v>46</v>
      </c>
      <c r="J29" s="51">
        <f t="shared" si="1"/>
        <v>4.7214236934112552</v>
      </c>
      <c r="K29" s="51">
        <f t="shared" si="2"/>
        <v>5.9842846917332988</v>
      </c>
      <c r="L29" s="51">
        <f t="shared" si="3"/>
        <v>5.995625476884296</v>
      </c>
      <c r="M29" s="51">
        <f t="shared" si="4"/>
        <v>5.9842846917332988</v>
      </c>
      <c r="N29" s="54">
        <f t="shared" si="5"/>
        <v>1.2646495381339717</v>
      </c>
      <c r="O29" s="51">
        <f t="shared" si="6"/>
        <v>1</v>
      </c>
      <c r="P29" s="52">
        <f t="shared" si="7"/>
        <v>1389.3002807193109</v>
      </c>
      <c r="Q29" s="52">
        <f t="shared" si="8"/>
        <v>441.27290650115367</v>
      </c>
      <c r="R29" s="51">
        <f t="shared" si="9"/>
        <v>6.0277839947723484</v>
      </c>
      <c r="S29" s="52">
        <f t="shared" si="10"/>
        <v>2270.2665282171492</v>
      </c>
      <c r="T29" s="243">
        <f t="shared" si="11"/>
        <v>16509.518335881145</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180">
        <f t="shared" si="12"/>
        <v>0</v>
      </c>
      <c r="I30" s="48">
        <f>IF(Weather_Site!M28&lt;180,Weather_Site!M28+180,Weather_Site!M28-180)</f>
        <v>35</v>
      </c>
      <c r="J30" s="51">
        <f t="shared" si="1"/>
        <v>5.2761077661898046</v>
      </c>
      <c r="K30" s="51">
        <f t="shared" si="2"/>
        <v>6.7270968834878637</v>
      </c>
      <c r="L30" s="51">
        <f t="shared" si="3"/>
        <v>6.8694676314063567</v>
      </c>
      <c r="M30" s="51">
        <f t="shared" si="4"/>
        <v>6.8694676314063567</v>
      </c>
      <c r="N30" s="54">
        <f t="shared" si="5"/>
        <v>1.0289718431945509</v>
      </c>
      <c r="O30" s="51">
        <f t="shared" si="6"/>
        <v>1</v>
      </c>
      <c r="P30" s="52">
        <f t="shared" si="7"/>
        <v>1005.3647858542707</v>
      </c>
      <c r="Q30" s="52">
        <f t="shared" si="8"/>
        <v>330.65044471565915</v>
      </c>
      <c r="R30" s="51">
        <f t="shared" si="9"/>
        <v>4.7708536758094517</v>
      </c>
      <c r="S30" s="52">
        <f t="shared" si="10"/>
        <v>1572.9118804898944</v>
      </c>
      <c r="T30" s="243">
        <f t="shared" si="11"/>
        <v>11947.084871901581</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180">
        <f t="shared" si="12"/>
        <v>0</v>
      </c>
      <c r="I31" s="48">
        <f>IF(Weather_Site!M29&lt;180,Weather_Site!M29+180,Weather_Site!M29-180)</f>
        <v>30</v>
      </c>
      <c r="J31" s="51">
        <f t="shared" si="1"/>
        <v>5.3581469121643517</v>
      </c>
      <c r="K31" s="51">
        <f t="shared" si="2"/>
        <v>6.8570849641983287</v>
      </c>
      <c r="L31" s="51">
        <f t="shared" si="3"/>
        <v>7.020890758855689</v>
      </c>
      <c r="M31" s="51">
        <f t="shared" si="4"/>
        <v>7.020890758855689</v>
      </c>
      <c r="N31" s="54">
        <f t="shared" si="5"/>
        <v>0.99597201392184265</v>
      </c>
      <c r="O31" s="51">
        <f t="shared" si="6"/>
        <v>1</v>
      </c>
      <c r="P31" s="52">
        <f t="shared" si="7"/>
        <v>1003.5237845702427</v>
      </c>
      <c r="Q31" s="52">
        <f t="shared" si="8"/>
        <v>326.94054506191713</v>
      </c>
      <c r="R31" s="51">
        <f t="shared" si="9"/>
        <v>4.764535742563953</v>
      </c>
      <c r="S31" s="52">
        <f t="shared" si="10"/>
        <v>1552.7731056094135</v>
      </c>
      <c r="T31" s="243">
        <f t="shared" si="11"/>
        <v>11925.207639976385</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180">
        <f t="shared" si="12"/>
        <v>0</v>
      </c>
      <c r="I32" s="48">
        <f>IF(Weather_Site!M30&lt;180,Weather_Site!M30+180,Weather_Site!M30-180)</f>
        <v>30</v>
      </c>
      <c r="J32" s="51">
        <f t="shared" si="1"/>
        <v>5.8539015549955042</v>
      </c>
      <c r="K32" s="51">
        <f t="shared" si="2"/>
        <v>7.4926954249923474</v>
      </c>
      <c r="L32" s="51">
        <f t="shared" si="3"/>
        <v>7.7514121185977274</v>
      </c>
      <c r="M32" s="51">
        <f t="shared" si="4"/>
        <v>7.7514121185977274</v>
      </c>
      <c r="N32" s="54">
        <f t="shared" si="5"/>
        <v>0.85897230290299764</v>
      </c>
      <c r="O32" s="51">
        <f t="shared" si="6"/>
        <v>1</v>
      </c>
      <c r="P32" s="52">
        <f t="shared" si="7"/>
        <v>839.26543867492614</v>
      </c>
      <c r="Q32" s="52">
        <f t="shared" si="8"/>
        <v>276.02268792073215</v>
      </c>
      <c r="R32" s="51">
        <f t="shared" si="9"/>
        <v>4.1869261991625626</v>
      </c>
      <c r="S32" s="52">
        <f t="shared" si="10"/>
        <v>1201.006804265272</v>
      </c>
      <c r="T32" s="243">
        <f t="shared" si="11"/>
        <v>9973.2709629203728</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180">
        <f t="shared" si="12"/>
        <v>0</v>
      </c>
      <c r="I33" s="48">
        <f>IF(Weather_Site!M31&lt;180,Weather_Site!M31+180,Weather_Site!M31-180)</f>
        <v>25</v>
      </c>
      <c r="J33" s="51">
        <f t="shared" si="1"/>
        <v>6.2860707156096751</v>
      </c>
      <c r="K33" s="51">
        <f t="shared" si="2"/>
        <v>8.0331057724055661</v>
      </c>
      <c r="L33" s="51">
        <f t="shared" si="3"/>
        <v>8.3635356497602018</v>
      </c>
      <c r="M33" s="51">
        <f t="shared" si="4"/>
        <v>8.3635356497602018</v>
      </c>
      <c r="N33" s="54">
        <f t="shared" si="5"/>
        <v>0.76670903069754892</v>
      </c>
      <c r="O33" s="51">
        <f t="shared" si="6"/>
        <v>1</v>
      </c>
      <c r="P33" s="52">
        <f t="shared" si="7"/>
        <v>654.66666712554775</v>
      </c>
      <c r="Q33" s="52">
        <f t="shared" si="8"/>
        <v>225.00722979422557</v>
      </c>
      <c r="R33" s="51">
        <f t="shared" si="9"/>
        <v>3.4986355870289079</v>
      </c>
      <c r="S33" s="52">
        <f t="shared" si="10"/>
        <v>807.93719470391261</v>
      </c>
      <c r="T33" s="243">
        <f t="shared" si="11"/>
        <v>7779.6222276752596</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180">
        <f t="shared" si="12"/>
        <v>0</v>
      </c>
      <c r="I34" s="27">
        <f>IF(Weather_Site!M32&lt;180,Weather_Site!M32+180,Weather_Site!M32-180)</f>
        <v>23</v>
      </c>
      <c r="J34" s="32">
        <f t="shared" si="1"/>
        <v>6.4413286122946865</v>
      </c>
      <c r="K34" s="32">
        <f t="shared" si="2"/>
        <v>8.2240758417454245</v>
      </c>
      <c r="L34" s="32">
        <f t="shared" si="3"/>
        <v>8.5777718356631905</v>
      </c>
      <c r="M34" s="32">
        <f t="shared" si="4"/>
        <v>8.5777718356631905</v>
      </c>
      <c r="N34" s="31">
        <f t="shared" si="5"/>
        <v>0.73825880454365733</v>
      </c>
      <c r="O34" s="32">
        <f t="shared" si="6"/>
        <v>1</v>
      </c>
      <c r="P34" s="33">
        <f t="shared" si="7"/>
        <v>514.58108863934831</v>
      </c>
      <c r="Q34" s="33">
        <f t="shared" si="8"/>
        <v>190.60632501245649</v>
      </c>
      <c r="R34" s="32">
        <f t="shared" si="9"/>
        <v>2.9396606339136588</v>
      </c>
      <c r="S34" s="33">
        <f t="shared" si="10"/>
        <v>502.78610019976259</v>
      </c>
      <c r="T34" s="5">
        <f t="shared" si="11"/>
        <v>6114.9386033309229</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180">
        <f t="shared" si="12"/>
        <v>0</v>
      </c>
      <c r="I35" s="27">
        <f>IF(Weather_Site!M33&lt;180,Weather_Site!M33+180,Weather_Site!M33-180)</f>
        <v>20</v>
      </c>
      <c r="J35" s="32">
        <f t="shared" si="1"/>
        <v>6.8393042700543569</v>
      </c>
      <c r="K35" s="32">
        <f t="shared" si="2"/>
        <v>8.7142153677613621</v>
      </c>
      <c r="L35" s="32">
        <f t="shared" si="3"/>
        <v>9.1279219517990011</v>
      </c>
      <c r="M35" s="32">
        <f t="shared" si="4"/>
        <v>9.1279219517990011</v>
      </c>
      <c r="N35" s="31">
        <f t="shared" si="5"/>
        <v>0.67274035541640442</v>
      </c>
      <c r="O35" s="32">
        <f t="shared" si="6"/>
        <v>1</v>
      </c>
      <c r="P35" s="33">
        <f t="shared" si="7"/>
        <v>468.91342484669815</v>
      </c>
      <c r="Q35" s="33">
        <f t="shared" si="8"/>
        <v>173.69053514066397</v>
      </c>
      <c r="R35" s="32">
        <f t="shared" si="9"/>
        <v>2.7486287304975519</v>
      </c>
      <c r="S35" s="33">
        <f t="shared" si="10"/>
        <v>371.82368882971241</v>
      </c>
      <c r="T35" s="5">
        <f t="shared" si="11"/>
        <v>5572.2545319282626</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180">
        <f t="shared" si="12"/>
        <v>0</v>
      </c>
      <c r="I36" s="27">
        <f>IF(Weather_Site!M34&lt;180,Weather_Site!M34+180,Weather_Site!M34-180)</f>
        <v>17</v>
      </c>
      <c r="J36" s="32">
        <f t="shared" si="1"/>
        <v>7.2764049449907606</v>
      </c>
      <c r="K36" s="32">
        <f t="shared" si="2"/>
        <v>9.2484414673091351</v>
      </c>
      <c r="L36" s="32">
        <f t="shared" si="3"/>
        <v>9.7239840487127918</v>
      </c>
      <c r="M36" s="32">
        <f t="shared" si="4"/>
        <v>9.7239840487127918</v>
      </c>
      <c r="N36" s="31">
        <f t="shared" si="5"/>
        <v>0.61203514620463495</v>
      </c>
      <c r="O36" s="32">
        <f t="shared" si="6"/>
        <v>1</v>
      </c>
      <c r="P36" s="33">
        <f t="shared" si="7"/>
        <v>367.86040372449241</v>
      </c>
      <c r="Q36" s="33">
        <f t="shared" si="8"/>
        <v>144.88972056507217</v>
      </c>
      <c r="R36" s="32">
        <f t="shared" si="9"/>
        <v>2.3062422492264494</v>
      </c>
      <c r="S36" s="33">
        <f t="shared" si="10"/>
        <v>114.6603359239557</v>
      </c>
      <c r="T36" s="5">
        <f t="shared" si="11"/>
        <v>4371.4077975927185</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180">
        <f t="shared" si="12"/>
        <v>0</v>
      </c>
      <c r="I37" s="27">
        <f>IF(Weather_Site!M35&lt;180,Weather_Site!M35+180,Weather_Site!M35-180)</f>
        <v>13</v>
      </c>
      <c r="J37" s="32">
        <f t="shared" si="1"/>
        <v>7.8414625714713617</v>
      </c>
      <c r="K37" s="32">
        <f t="shared" si="2"/>
        <v>9.9465514096311125</v>
      </c>
      <c r="L37" s="32">
        <f t="shared" si="3"/>
        <v>10.506339862677073</v>
      </c>
      <c r="M37" s="32">
        <f t="shared" si="4"/>
        <v>10.506339862677073</v>
      </c>
      <c r="N37" s="31">
        <f t="shared" si="5"/>
        <v>0.54517205579989225</v>
      </c>
      <c r="O37" s="32">
        <f t="shared" si="6"/>
        <v>1</v>
      </c>
      <c r="P37" s="33">
        <f t="shared" si="7"/>
        <v>274.39331329098866</v>
      </c>
      <c r="Q37" s="33">
        <f t="shared" si="8"/>
        <v>117.2368197544664</v>
      </c>
      <c r="R37" s="32">
        <f t="shared" si="9"/>
        <v>1.8657787457933352</v>
      </c>
      <c r="S37" s="33">
        <f t="shared" si="10"/>
        <v>123.73347245317154</v>
      </c>
      <c r="T37" s="5">
        <f t="shared" si="11"/>
        <v>3260.7072062745819</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180">
        <f t="shared" si="12"/>
        <v>0</v>
      </c>
      <c r="I38" s="27">
        <f>IF(Weather_Site!M36&lt;180,Weather_Site!M36+180,Weather_Site!M36-180)</f>
        <v>10</v>
      </c>
      <c r="J38" s="32">
        <f t="shared" si="1"/>
        <v>8.3610008236743223</v>
      </c>
      <c r="K38" s="32">
        <f t="shared" si="2"/>
        <v>10.589047771319073</v>
      </c>
      <c r="L38" s="32">
        <f t="shared" si="3"/>
        <v>11.226233218881346</v>
      </c>
      <c r="M38" s="32">
        <f t="shared" si="4"/>
        <v>11.226233218881346</v>
      </c>
      <c r="N38" s="31">
        <f t="shared" si="5"/>
        <v>0.49374598570483613</v>
      </c>
      <c r="O38" s="32">
        <f t="shared" si="6"/>
        <v>1</v>
      </c>
      <c r="P38" s="33">
        <f t="shared" si="7"/>
        <v>199.16491829513257</v>
      </c>
      <c r="Q38" s="33">
        <f t="shared" si="8"/>
        <v>95.33378654299257</v>
      </c>
      <c r="R38" s="32">
        <f t="shared" si="9"/>
        <v>1.4799497471588718</v>
      </c>
      <c r="S38" s="33">
        <f t="shared" si="10"/>
        <v>277.77594098774716</v>
      </c>
      <c r="T38" s="5">
        <f t="shared" si="11"/>
        <v>2366.7431124071586</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180">
        <f t="shared" si="12"/>
        <v>0</v>
      </c>
      <c r="I39" s="48">
        <f>IF(Weather_Site!M37&lt;180,Weather_Site!M37+180,Weather_Site!M37-180)</f>
        <v>9</v>
      </c>
      <c r="J39" s="51">
        <f t="shared" si="1"/>
        <v>8.9160710554914964</v>
      </c>
      <c r="K39" s="51">
        <f t="shared" si="2"/>
        <v>11.274145048053049</v>
      </c>
      <c r="L39" s="51">
        <f t="shared" si="3"/>
        <v>11.993284766523084</v>
      </c>
      <c r="M39" s="51">
        <f t="shared" si="4"/>
        <v>11.993284766523084</v>
      </c>
      <c r="N39" s="54">
        <f t="shared" si="5"/>
        <v>0.44729183450783488</v>
      </c>
      <c r="O39" s="51">
        <f t="shared" si="6"/>
        <v>1</v>
      </c>
      <c r="P39" s="52">
        <f t="shared" si="7"/>
        <v>180.42646270158897</v>
      </c>
      <c r="Q39" s="52">
        <f t="shared" si="8"/>
        <v>86.364295625656197</v>
      </c>
      <c r="R39" s="51">
        <f t="shared" si="9"/>
        <v>1.3779109565801104</v>
      </c>
      <c r="S39" s="52">
        <f t="shared" si="10"/>
        <v>302.90599250145624</v>
      </c>
      <c r="T39" s="243">
        <f t="shared" si="11"/>
        <v>2144.0677984372155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180">
        <f t="shared" si="12"/>
        <v>0</v>
      </c>
      <c r="I40" s="48">
        <f>IF(Weather_Site!M38&lt;180,Weather_Site!M38+180,Weather_Site!M38-180)</f>
        <v>5</v>
      </c>
      <c r="J40" s="51">
        <f t="shared" si="1"/>
        <v>9.6324581543253736</v>
      </c>
      <c r="K40" s="51">
        <f t="shared" si="2"/>
        <v>12.16874673092731</v>
      </c>
      <c r="L40" s="51">
        <f t="shared" si="3"/>
        <v>13.002613650946596</v>
      </c>
      <c r="M40" s="51">
        <f t="shared" si="4"/>
        <v>12.16874673092731</v>
      </c>
      <c r="N40" s="54">
        <f t="shared" si="5"/>
        <v>0.43768428005286625</v>
      </c>
      <c r="O40" s="51">
        <f t="shared" si="6"/>
        <v>1</v>
      </c>
      <c r="P40" s="52">
        <f t="shared" si="7"/>
        <v>161.70415425170555</v>
      </c>
      <c r="Q40" s="52">
        <f t="shared" si="8"/>
        <v>81.275037137953746</v>
      </c>
      <c r="R40" s="51">
        <f t="shared" si="9"/>
        <v>1.2729797493068935</v>
      </c>
      <c r="S40" s="52">
        <f t="shared" si="10"/>
        <v>309.90450750572381</v>
      </c>
      <c r="T40" s="243">
        <f t="shared" si="11"/>
        <v>1921.5843663577675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180">
        <f t="shared" si="12"/>
        <v>0</v>
      </c>
      <c r="I41" s="48">
        <f>IF(Weather_Site!M39&lt;180,Weather_Site!M39+180,Weather_Site!M39-180)</f>
        <v>1</v>
      </c>
      <c r="J41" s="51">
        <f t="shared" si="1"/>
        <v>9.2036393188990129</v>
      </c>
      <c r="K41" s="51">
        <f t="shared" si="2"/>
        <v>11.64394205112985</v>
      </c>
      <c r="L41" s="51">
        <f t="shared" si="3"/>
        <v>12.416411906357016</v>
      </c>
      <c r="M41" s="51">
        <f t="shared" si="4"/>
        <v>11.64394205112985</v>
      </c>
      <c r="N41" s="54">
        <f t="shared" si="5"/>
        <v>0.46750250771329044</v>
      </c>
      <c r="O41" s="51">
        <f t="shared" si="6"/>
        <v>1</v>
      </c>
      <c r="P41" s="52">
        <f t="shared" si="7"/>
        <v>204.28550662942499</v>
      </c>
      <c r="Q41" s="52">
        <f t="shared" si="8"/>
        <v>93.704620751071829</v>
      </c>
      <c r="R41" s="51">
        <f t="shared" si="9"/>
        <v>1.5073629511525706</v>
      </c>
      <c r="S41" s="52">
        <f t="shared" si="10"/>
        <v>274.54496934025656</v>
      </c>
      <c r="T41" s="243">
        <f t="shared" si="11"/>
        <v>2427.5927704463334</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180">
        <f t="shared" si="12"/>
        <v>0</v>
      </c>
      <c r="I42" s="48">
        <f>IF(Weather_Site!M40&lt;180,Weather_Site!M40+180,Weather_Site!M40-180)</f>
        <v>358</v>
      </c>
      <c r="J42" s="51">
        <f t="shared" si="1"/>
        <v>8.2000358972083855</v>
      </c>
      <c r="K42" s="51">
        <f t="shared" si="2"/>
        <v>10.411955420608685</v>
      </c>
      <c r="L42" s="51">
        <f t="shared" si="3"/>
        <v>11.042908899298558</v>
      </c>
      <c r="M42" s="51">
        <f t="shared" si="4"/>
        <v>10.411955420608685</v>
      </c>
      <c r="N42" s="54">
        <f t="shared" si="5"/>
        <v>0.55257687912416609</v>
      </c>
      <c r="O42" s="51">
        <f t="shared" si="6"/>
        <v>1</v>
      </c>
      <c r="P42" s="52">
        <f t="shared" si="7"/>
        <v>332.12333491624639</v>
      </c>
      <c r="Q42" s="52">
        <f t="shared" si="8"/>
        <v>130.81390848794652</v>
      </c>
      <c r="R42" s="51">
        <f t="shared" si="9"/>
        <v>2.1419806478406911</v>
      </c>
      <c r="S42" s="52">
        <f t="shared" si="10"/>
        <v>50</v>
      </c>
      <c r="T42" s="243">
        <f t="shared" si="11"/>
        <v>3946.7322965880608</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180">
        <f t="shared" si="12"/>
        <v>0</v>
      </c>
      <c r="I43" s="48">
        <f>IF(Weather_Site!M41&lt;180,Weather_Site!M41+180,Weather_Site!M41-180)</f>
        <v>357</v>
      </c>
      <c r="J43" s="51">
        <f t="shared" si="1"/>
        <v>7.5443547416960772</v>
      </c>
      <c r="K43" s="51">
        <f t="shared" si="2"/>
        <v>9.5972292503155341</v>
      </c>
      <c r="L43" s="51">
        <f t="shared" si="3"/>
        <v>10.127506594324286</v>
      </c>
      <c r="M43" s="51">
        <f t="shared" si="4"/>
        <v>9.5972292503155341</v>
      </c>
      <c r="N43" s="54">
        <f t="shared" si="5"/>
        <v>0.62415926794661525</v>
      </c>
      <c r="O43" s="51">
        <f t="shared" si="6"/>
        <v>1</v>
      </c>
      <c r="P43" s="52">
        <f t="shared" si="7"/>
        <v>230.59806152846119</v>
      </c>
      <c r="Q43" s="52">
        <f t="shared" si="8"/>
        <v>115.90219250330823</v>
      </c>
      <c r="R43" s="51">
        <f t="shared" si="9"/>
        <v>1.6453591862388142</v>
      </c>
      <c r="S43" s="52">
        <f t="shared" si="10"/>
        <v>199.89058561176398</v>
      </c>
      <c r="T43" s="243">
        <f t="shared" si="11"/>
        <v>2740.2736311632134</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180">
        <f t="shared" si="12"/>
        <v>0</v>
      </c>
      <c r="I44" s="27">
        <f>IF(Weather_Site!M42&lt;180,Weather_Site!M42+180,Weather_Site!M42-180)</f>
        <v>356</v>
      </c>
      <c r="J44" s="32">
        <f t="shared" si="1"/>
        <v>6.6042201728972616</v>
      </c>
      <c r="K44" s="32">
        <f t="shared" si="2"/>
        <v>8.4288619704151486</v>
      </c>
      <c r="L44" s="32">
        <f t="shared" si="3"/>
        <v>8.8109899873109381</v>
      </c>
      <c r="M44" s="32">
        <f t="shared" si="4"/>
        <v>8.4288619704151486</v>
      </c>
      <c r="N44" s="31">
        <f t="shared" si="5"/>
        <v>0.75784245204883871</v>
      </c>
      <c r="O44" s="32">
        <f t="shared" si="6"/>
        <v>1</v>
      </c>
      <c r="P44" s="33">
        <f t="shared" si="7"/>
        <v>381.43352939310569</v>
      </c>
      <c r="Q44" s="33">
        <f t="shared" si="8"/>
        <v>162.97064020050257</v>
      </c>
      <c r="R44" s="32">
        <f t="shared" si="9"/>
        <v>2.3674560433439154</v>
      </c>
      <c r="S44" s="33">
        <f t="shared" si="10"/>
        <v>200.40971790416461</v>
      </c>
      <c r="T44" s="5">
        <f t="shared" si="11"/>
        <v>4532.7017742880726</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180">
        <f t="shared" si="12"/>
        <v>0</v>
      </c>
      <c r="I45" s="27">
        <f>IF(Weather_Site!M43&lt;180,Weather_Site!M43+180,Weather_Site!M43-180)</f>
        <v>346</v>
      </c>
      <c r="J45" s="32">
        <f t="shared" si="1"/>
        <v>6.0360624732281849</v>
      </c>
      <c r="K45" s="32">
        <f t="shared" si="2"/>
        <v>7.7218300704522518</v>
      </c>
      <c r="L45" s="32">
        <f t="shared" si="3"/>
        <v>8.0110948350737949</v>
      </c>
      <c r="M45" s="32">
        <f t="shared" si="4"/>
        <v>7.7218300704522518</v>
      </c>
      <c r="N45" s="31">
        <f t="shared" si="5"/>
        <v>0.86389654815323036</v>
      </c>
      <c r="O45" s="32">
        <f t="shared" si="6"/>
        <v>1</v>
      </c>
      <c r="P45" s="33">
        <f t="shared" si="7"/>
        <v>377.49860397139639</v>
      </c>
      <c r="Q45" s="33">
        <f t="shared" si="8"/>
        <v>173.15650093261991</v>
      </c>
      <c r="R45" s="32">
        <f t="shared" si="9"/>
        <v>2.349772851075826</v>
      </c>
      <c r="S45" s="33">
        <f t="shared" si="10"/>
        <v>223.38356176544767</v>
      </c>
      <c r="T45" s="5">
        <f t="shared" si="11"/>
        <v>4485.941743860094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180">
        <f t="shared" si="12"/>
        <v>0</v>
      </c>
      <c r="I46" s="27">
        <f>IF(Weather_Site!M44&lt;180,Weather_Site!M44+180,Weather_Site!M44-180)</f>
        <v>349</v>
      </c>
      <c r="J46" s="32">
        <f t="shared" si="1"/>
        <v>5.4007526655582643</v>
      </c>
      <c r="K46" s="32">
        <f t="shared" si="2"/>
        <v>6.9244042519386992</v>
      </c>
      <c r="L46" s="32">
        <f t="shared" si="3"/>
        <v>7.1009118133344744</v>
      </c>
      <c r="M46" s="32">
        <f t="shared" si="4"/>
        <v>6.9244042519386992</v>
      </c>
      <c r="N46" s="31">
        <f t="shared" si="5"/>
        <v>1.016791221862116</v>
      </c>
      <c r="O46" s="32">
        <f t="shared" si="6"/>
        <v>1</v>
      </c>
      <c r="P46" s="33">
        <f t="shared" si="7"/>
        <v>410.14842953363745</v>
      </c>
      <c r="Q46" s="33">
        <f t="shared" si="8"/>
        <v>196.32475019602396</v>
      </c>
      <c r="R46" s="32">
        <f t="shared" si="9"/>
        <v>2.4950110020556635</v>
      </c>
      <c r="S46" s="33">
        <f t="shared" si="10"/>
        <v>349.77547514410571</v>
      </c>
      <c r="T46" s="5">
        <f t="shared" si="11"/>
        <v>4873.930504291392</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180">
        <f t="shared" si="12"/>
        <v>0</v>
      </c>
      <c r="I47" s="27">
        <f>IF(Weather_Site!M45&lt;180,Weather_Site!M45+180,Weather_Site!M45-180)</f>
        <v>5</v>
      </c>
      <c r="J47" s="32">
        <f t="shared" si="1"/>
        <v>4.8805084424025571</v>
      </c>
      <c r="K47" s="32">
        <f t="shared" si="2"/>
        <v>6.2618707403649774</v>
      </c>
      <c r="L47" s="32">
        <f t="shared" si="3"/>
        <v>6.3352387065860754</v>
      </c>
      <c r="M47" s="32">
        <f t="shared" si="4"/>
        <v>4.8805084424025571</v>
      </c>
      <c r="N47" s="31">
        <f t="shared" si="5"/>
        <v>1.7153321222342519</v>
      </c>
      <c r="O47" s="32">
        <f t="shared" si="6"/>
        <v>1</v>
      </c>
      <c r="P47" s="33">
        <f t="shared" si="7"/>
        <v>633.73610323215098</v>
      </c>
      <c r="Q47" s="33">
        <f t="shared" si="8"/>
        <v>318.52567773664288</v>
      </c>
      <c r="R47" s="32">
        <f t="shared" si="9"/>
        <v>3.4174006086115845</v>
      </c>
      <c r="S47" s="33">
        <f t="shared" si="10"/>
        <v>1074.0483069179068</v>
      </c>
      <c r="T47" s="5">
        <f t="shared" si="11"/>
        <v>7530.8973600753934</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180">
        <f t="shared" si="12"/>
        <v>0</v>
      </c>
      <c r="I48" s="27">
        <f>IF(Weather_Site!M46&lt;180,Weather_Site!M46+180,Weather_Site!M46-180)</f>
        <v>19</v>
      </c>
      <c r="J48" s="32">
        <f t="shared" si="1"/>
        <v>4.3864965992233786</v>
      </c>
      <c r="K48" s="32">
        <f t="shared" si="2"/>
        <v>5.6176283984470867</v>
      </c>
      <c r="L48" s="32">
        <f t="shared" si="3"/>
        <v>5.577743883677881</v>
      </c>
      <c r="M48" s="32">
        <f t="shared" si="4"/>
        <v>4.3864965992233786</v>
      </c>
      <c r="N48" s="31">
        <f t="shared" si="5"/>
        <v>2.0120436175276382</v>
      </c>
      <c r="O48" s="32">
        <f t="shared" si="6"/>
        <v>1</v>
      </c>
      <c r="P48" s="33">
        <f t="shared" si="7"/>
        <v>674.37249630944962</v>
      </c>
      <c r="Q48" s="33">
        <f t="shared" si="8"/>
        <v>358.67995292573909</v>
      </c>
      <c r="R48" s="32">
        <f t="shared" si="9"/>
        <v>3.574461922554752</v>
      </c>
      <c r="S48" s="33">
        <f t="shared" si="10"/>
        <v>1228.6892255652001</v>
      </c>
      <c r="T48" s="5">
        <f t="shared" si="11"/>
        <v>8013.7931644772934</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180">
        <f t="shared" si="12"/>
        <v>0</v>
      </c>
      <c r="I49" s="48">
        <f>IF(Weather_Site!M47&lt;180,Weather_Site!M47+180,Weather_Site!M47-180)</f>
        <v>24</v>
      </c>
      <c r="J49" s="51">
        <f t="shared" si="1"/>
        <v>4.0768890547218879</v>
      </c>
      <c r="K49" s="51">
        <f t="shared" si="2"/>
        <v>5.2019451557158245</v>
      </c>
      <c r="L49" s="51">
        <f t="shared" si="3"/>
        <v>5.0795076623009034</v>
      </c>
      <c r="M49" s="51">
        <f t="shared" si="4"/>
        <v>4.0768890547218879</v>
      </c>
      <c r="N49" s="54">
        <f t="shared" si="5"/>
        <v>2.2447180697083788</v>
      </c>
      <c r="O49" s="51">
        <f t="shared" si="6"/>
        <v>1</v>
      </c>
      <c r="P49" s="52">
        <f t="shared" si="7"/>
        <v>595.49007518512599</v>
      </c>
      <c r="Q49" s="52">
        <f t="shared" si="8"/>
        <v>366.54246440806298</v>
      </c>
      <c r="R49" s="51">
        <f t="shared" si="9"/>
        <v>3.2670092735009946</v>
      </c>
      <c r="S49" s="52">
        <f t="shared" si="10"/>
        <v>1070.3937975863528</v>
      </c>
      <c r="T49" s="243">
        <f t="shared" si="11"/>
        <v>7076.4070601165804</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180">
        <f t="shared" si="12"/>
        <v>0</v>
      </c>
      <c r="I50" s="48">
        <f>IF(Weather_Site!M48&lt;180,Weather_Site!M48+180,Weather_Site!M48-180)</f>
        <v>29</v>
      </c>
      <c r="J50" s="51">
        <f t="shared" si="1"/>
        <v>3.9879757584179942</v>
      </c>
      <c r="K50" s="51">
        <f t="shared" si="2"/>
        <v>5.0724295059309945</v>
      </c>
      <c r="L50" s="51">
        <f t="shared" si="3"/>
        <v>4.9187145748231949</v>
      </c>
      <c r="M50" s="51">
        <f t="shared" si="4"/>
        <v>3.9879757584179942</v>
      </c>
      <c r="N50" s="54">
        <f t="shared" si="5"/>
        <v>2.3199493093133263</v>
      </c>
      <c r="O50" s="51">
        <f t="shared" si="6"/>
        <v>1</v>
      </c>
      <c r="P50" s="52">
        <f t="shared" si="7"/>
        <v>697.06804909102971</v>
      </c>
      <c r="Q50" s="52">
        <f t="shared" si="8"/>
        <v>396.24721503514991</v>
      </c>
      <c r="R50" s="51">
        <f t="shared" si="9"/>
        <v>3.6610363130259924</v>
      </c>
      <c r="S50" s="52">
        <f t="shared" si="10"/>
        <v>1334.8091910204903</v>
      </c>
      <c r="T50" s="243">
        <f t="shared" si="11"/>
        <v>8283.4919833650692</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180">
        <f t="shared" ref="H51:H82" si="13">C$4</f>
        <v>0</v>
      </c>
      <c r="I51" s="48">
        <f>IF(Weather_Site!M49&lt;180,Weather_Site!M49+180,Weather_Site!M49-180)</f>
        <v>32</v>
      </c>
      <c r="J51" s="51">
        <f t="shared" si="1"/>
        <v>3.8915766321418883</v>
      </c>
      <c r="K51" s="51">
        <f t="shared" si="2"/>
        <v>4.9360634486080492</v>
      </c>
      <c r="L51" s="51">
        <f t="shared" si="3"/>
        <v>4.7509649803338387</v>
      </c>
      <c r="M51" s="51">
        <f t="shared" si="4"/>
        <v>3.8915766321418883</v>
      </c>
      <c r="N51" s="54">
        <f t="shared" si="5"/>
        <v>2.4063885102433722</v>
      </c>
      <c r="O51" s="51">
        <f t="shared" si="6"/>
        <v>1</v>
      </c>
      <c r="P51" s="52">
        <f t="shared" si="7"/>
        <v>638.3788210319052</v>
      </c>
      <c r="Q51" s="52">
        <f t="shared" si="8"/>
        <v>392.94180715640744</v>
      </c>
      <c r="R51" s="51">
        <f t="shared" si="9"/>
        <v>3.4354831104996562</v>
      </c>
      <c r="S51" s="52">
        <f t="shared" si="10"/>
        <v>1203.0687543670256</v>
      </c>
      <c r="T51" s="243">
        <f t="shared" si="11"/>
        <v>7586.0683232624724</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180">
        <f t="shared" si="13"/>
        <v>0</v>
      </c>
      <c r="I52" s="48">
        <f>IF(Weather_Site!M50&lt;180,Weather_Site!M50+180,Weather_Site!M50-180)</f>
        <v>31</v>
      </c>
      <c r="J52" s="51">
        <f t="shared" si="1"/>
        <v>3.9687577878260103</v>
      </c>
      <c r="K52" s="51">
        <f t="shared" si="2"/>
        <v>5.0380687888727032</v>
      </c>
      <c r="L52" s="51">
        <f t="shared" si="3"/>
        <v>4.8736122683138738</v>
      </c>
      <c r="M52" s="51">
        <f t="shared" si="4"/>
        <v>5.0380687888727032</v>
      </c>
      <c r="N52" s="54">
        <f t="shared" si="5"/>
        <v>1.6357565903559133</v>
      </c>
      <c r="O52" s="51">
        <f t="shared" si="6"/>
        <v>1</v>
      </c>
      <c r="P52" s="52">
        <f t="shared" si="7"/>
        <v>433.94171772411255</v>
      </c>
      <c r="Q52" s="52">
        <f t="shared" si="8"/>
        <v>267.104479574435</v>
      </c>
      <c r="R52" s="51">
        <f t="shared" si="9"/>
        <v>2.5988366853779823</v>
      </c>
      <c r="S52" s="52">
        <f t="shared" si="10"/>
        <v>539.14840993455846</v>
      </c>
      <c r="T52" s="243">
        <f t="shared" si="11"/>
        <v>5156.6740789548703</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180">
        <f t="shared" si="13"/>
        <v>0</v>
      </c>
      <c r="I53" s="48">
        <f>IF(Weather_Site!M51&lt;180,Weather_Site!M51+180,Weather_Site!M51-180)</f>
        <v>28</v>
      </c>
      <c r="J53" s="51">
        <f t="shared" si="1"/>
        <v>4.0070162287856421</v>
      </c>
      <c r="K53" s="51">
        <f t="shared" si="2"/>
        <v>5.0876720595752305</v>
      </c>
      <c r="L53" s="51">
        <f t="shared" si="3"/>
        <v>4.9328247639424374</v>
      </c>
      <c r="M53" s="51">
        <f t="shared" si="4"/>
        <v>5.0876720595752305</v>
      </c>
      <c r="N53" s="54">
        <f t="shared" si="5"/>
        <v>1.6119717575055499</v>
      </c>
      <c r="O53" s="51">
        <f t="shared" si="6"/>
        <v>1</v>
      </c>
      <c r="P53" s="52">
        <f t="shared" si="7"/>
        <v>370.00048872012854</v>
      </c>
      <c r="Q53" s="52">
        <f t="shared" si="8"/>
        <v>251.04367596000921</v>
      </c>
      <c r="R53" s="51">
        <f t="shared" si="9"/>
        <v>2.3159348872222729</v>
      </c>
      <c r="S53" s="52">
        <f t="shared" si="10"/>
        <v>347.57662566592444</v>
      </c>
      <c r="T53" s="243">
        <f t="shared" si="11"/>
        <v>4396.8391409575279</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180">
        <f t="shared" si="13"/>
        <v>0</v>
      </c>
      <c r="I54" s="27">
        <f>IF(Weather_Site!M52&lt;180,Weather_Site!M52+180,Weather_Site!M52-180)</f>
        <v>22</v>
      </c>
      <c r="J54" s="32">
        <f t="shared" si="1"/>
        <v>4.2096347093027768</v>
      </c>
      <c r="K54" s="32">
        <f t="shared" si="2"/>
        <v>5.3612942233392413</v>
      </c>
      <c r="L54" s="32">
        <f t="shared" si="3"/>
        <v>5.2627776964223072</v>
      </c>
      <c r="M54" s="32">
        <f t="shared" si="4"/>
        <v>5.2627776964223072</v>
      </c>
      <c r="N54" s="31">
        <f t="shared" si="5"/>
        <v>1.5324525446017745</v>
      </c>
      <c r="O54" s="32">
        <f t="shared" si="6"/>
        <v>1</v>
      </c>
      <c r="P54" s="33">
        <f t="shared" si="7"/>
        <v>238.65959080227552</v>
      </c>
      <c r="Q54" s="33">
        <f t="shared" si="8"/>
        <v>215.278070342055</v>
      </c>
      <c r="R54" s="32">
        <f t="shared" si="9"/>
        <v>1.6867480719877348</v>
      </c>
      <c r="S54" s="33">
        <f t="shared" si="10"/>
        <v>72.580447370875845</v>
      </c>
      <c r="T54" s="5">
        <f t="shared" si="11"/>
        <v>2836.071470700374</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180">
        <f t="shared" si="13"/>
        <v>0</v>
      </c>
      <c r="I55" s="27">
        <f>IF(Weather_Site!M53&lt;180,Weather_Site!M53+180,Weather_Site!M53-180)</f>
        <v>27</v>
      </c>
      <c r="J55" s="32">
        <f t="shared" si="1"/>
        <v>5.3946349140043068</v>
      </c>
      <c r="K55" s="32">
        <f t="shared" si="2"/>
        <v>6.895763261920977</v>
      </c>
      <c r="L55" s="32">
        <f t="shared" si="3"/>
        <v>7.0653933450033044</v>
      </c>
      <c r="M55" s="32">
        <f t="shared" si="4"/>
        <v>7.0653933450033044</v>
      </c>
      <c r="N55" s="31">
        <f t="shared" si="5"/>
        <v>0.98660806679481361</v>
      </c>
      <c r="O55" s="32">
        <f t="shared" si="6"/>
        <v>1</v>
      </c>
      <c r="P55" s="33">
        <f t="shared" si="7"/>
        <v>75.548738362778394</v>
      </c>
      <c r="Q55" s="33">
        <f t="shared" si="8"/>
        <v>123.31997499883646</v>
      </c>
      <c r="R55" s="32">
        <f t="shared" si="9"/>
        <v>0.73430140813420375</v>
      </c>
      <c r="S55" s="33">
        <f t="shared" si="10"/>
        <v>79.896358121998674</v>
      </c>
      <c r="T55" s="5">
        <f t="shared" si="11"/>
        <v>897.77084087768321</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180">
        <f t="shared" si="13"/>
        <v>0</v>
      </c>
      <c r="I56" s="27">
        <f>IF(Weather_Site!M54&lt;180,Weather_Site!M54+180,Weather_Site!M54-180)</f>
        <v>17</v>
      </c>
      <c r="J56" s="32">
        <f t="shared" si="1"/>
        <v>6.0891137887065803</v>
      </c>
      <c r="K56" s="32">
        <f t="shared" si="2"/>
        <v>7.7842746823267319</v>
      </c>
      <c r="L56" s="32">
        <f t="shared" si="3"/>
        <v>8.0877036996259335</v>
      </c>
      <c r="M56" s="32">
        <f t="shared" si="4"/>
        <v>8.0877036996259335</v>
      </c>
      <c r="N56" s="31">
        <f t="shared" si="5"/>
        <v>0.80612942844055635</v>
      </c>
      <c r="O56" s="32">
        <f t="shared" si="6"/>
        <v>1</v>
      </c>
      <c r="P56" s="33">
        <f t="shared" si="7"/>
        <v>61.728728281782409</v>
      </c>
      <c r="Q56" s="33">
        <f t="shared" si="8"/>
        <v>100.76124887573069</v>
      </c>
      <c r="R56" s="32">
        <f t="shared" si="9"/>
        <v>0.63450993011998136</v>
      </c>
      <c r="S56" s="33">
        <f t="shared" si="10"/>
        <v>484.26884891902046</v>
      </c>
      <c r="T56" s="5">
        <f t="shared" si="11"/>
        <v>733.5430544151809</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180">
        <f t="shared" si="13"/>
        <v>0</v>
      </c>
      <c r="I57" s="27">
        <f>IF(Weather_Site!M55&lt;180,Weather_Site!M55+180,Weather_Site!M55-180)</f>
        <v>8</v>
      </c>
      <c r="J57" s="32">
        <f t="shared" si="1"/>
        <v>6.7126354844172269</v>
      </c>
      <c r="K57" s="32">
        <f t="shared" si="2"/>
        <v>8.5706495957036832</v>
      </c>
      <c r="L57" s="32">
        <f t="shared" si="3"/>
        <v>8.9829562428172576</v>
      </c>
      <c r="M57" s="32">
        <f t="shared" si="4"/>
        <v>8.9829562428172576</v>
      </c>
      <c r="N57" s="31">
        <f t="shared" si="5"/>
        <v>0.68903561102365507</v>
      </c>
      <c r="O57" s="32">
        <f t="shared" si="6"/>
        <v>1</v>
      </c>
      <c r="P57" s="33">
        <f t="shared" si="7"/>
        <v>20.671068330709652</v>
      </c>
      <c r="Q57" s="33">
        <f t="shared" si="8"/>
        <v>80.721803541506262</v>
      </c>
      <c r="R57" s="32">
        <f t="shared" si="9"/>
        <v>0.28768914582599958</v>
      </c>
      <c r="S57" s="33">
        <f t="shared" si="10"/>
        <v>7981.3084587685171</v>
      </c>
      <c r="T57" s="5">
        <f t="shared" si="11"/>
        <v>245.641195329933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180">
        <f t="shared" si="13"/>
        <v>0</v>
      </c>
      <c r="I58" s="27">
        <f>IF(Weather_Site!M56&lt;180,Weather_Site!M56+180,Weather_Site!M56-180)</f>
        <v>10</v>
      </c>
      <c r="J58" s="32">
        <f t="shared" si="1"/>
        <v>7.2286273703587662</v>
      </c>
      <c r="K58" s="32">
        <f t="shared" si="2"/>
        <v>9.2196174139257536</v>
      </c>
      <c r="L58" s="32">
        <f t="shared" si="3"/>
        <v>9.7208842783922993</v>
      </c>
      <c r="M58" s="32">
        <f t="shared" si="4"/>
        <v>9.7208842783922993</v>
      </c>
      <c r="N58" s="31">
        <f t="shared" si="5"/>
        <v>0.61232693967538243</v>
      </c>
      <c r="O58" s="32">
        <f t="shared" si="6"/>
        <v>1</v>
      </c>
      <c r="P58" s="33">
        <f t="shared" si="7"/>
        <v>18.369808190261473</v>
      </c>
      <c r="Q58" s="33">
        <f t="shared" si="8"/>
        <v>71.735240003366201</v>
      </c>
      <c r="R58" s="32">
        <f t="shared" si="9"/>
        <v>0.26415797407505132</v>
      </c>
      <c r="S58" s="33">
        <f t="shared" si="10"/>
        <v>9904.8084584727076</v>
      </c>
      <c r="T58" s="5">
        <f t="shared" si="11"/>
        <v>218.2945539942738</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180">
        <f t="shared" si="13"/>
        <v>0</v>
      </c>
      <c r="I59" s="48">
        <f>IF(Weather_Site!M57&lt;180,Weather_Site!M57+180,Weather_Site!M57-180)</f>
        <v>87</v>
      </c>
      <c r="J59" s="51">
        <f t="shared" si="1"/>
        <v>7.8447432300599669</v>
      </c>
      <c r="K59" s="51">
        <f t="shared" si="2"/>
        <v>9.9939775042079457</v>
      </c>
      <c r="L59" s="51">
        <f t="shared" si="3"/>
        <v>10.59735418721519</v>
      </c>
      <c r="M59" s="51">
        <f t="shared" si="4"/>
        <v>10.59735418721519</v>
      </c>
      <c r="N59" s="54">
        <f t="shared" si="5"/>
        <v>0.53818713305897836</v>
      </c>
      <c r="O59" s="51">
        <f t="shared" si="6"/>
        <v>1</v>
      </c>
      <c r="P59" s="52">
        <f t="shared" si="7"/>
        <v>41.211257310895824</v>
      </c>
      <c r="Q59" s="52">
        <f t="shared" si="8"/>
        <v>67.270100485942606</v>
      </c>
      <c r="R59" s="51">
        <f t="shared" si="9"/>
        <v>0.47377545114355041</v>
      </c>
      <c r="S59" s="52">
        <f t="shared" si="10"/>
        <v>1989.3380411797825</v>
      </c>
      <c r="T59" s="243">
        <f t="shared" si="11"/>
        <v>489.72710771114532</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180">
        <f t="shared" si="13"/>
        <v>0</v>
      </c>
      <c r="I60" s="48">
        <f>IF(Weather_Site!M58&lt;180,Weather_Site!M58+180,Weather_Site!M58-180)</f>
        <v>65</v>
      </c>
      <c r="J60" s="51">
        <f t="shared" si="1"/>
        <v>8.5655047811978466</v>
      </c>
      <c r="K60" s="51">
        <f t="shared" si="2"/>
        <v>10.904368675119681</v>
      </c>
      <c r="L60" s="51">
        <f t="shared" si="3"/>
        <v>11.630133235906868</v>
      </c>
      <c r="M60" s="51">
        <f t="shared" si="4"/>
        <v>11.630133235906868</v>
      </c>
      <c r="N60" s="54">
        <f t="shared" si="5"/>
        <v>0.46833259630489621</v>
      </c>
      <c r="O60" s="51">
        <f t="shared" si="6"/>
        <v>1</v>
      </c>
      <c r="P60" s="52">
        <f t="shared" si="7"/>
        <v>35.862200985183868</v>
      </c>
      <c r="Q60" s="52">
        <f t="shared" si="8"/>
        <v>58.53871056932207</v>
      </c>
      <c r="R60" s="51">
        <f t="shared" si="9"/>
        <v>0.42846819649386192</v>
      </c>
      <c r="S60" s="52">
        <f t="shared" si="10"/>
        <v>2810.5822083830708</v>
      </c>
      <c r="T60" s="243">
        <f t="shared" si="11"/>
        <v>426.16248837393488</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180">
        <f t="shared" si="13"/>
        <v>0</v>
      </c>
      <c r="I61" s="48">
        <f>IF(Weather_Site!M59&lt;180,Weather_Site!M59+180,Weather_Site!M59-180)</f>
        <v>46</v>
      </c>
      <c r="J61" s="51">
        <f t="shared" si="1"/>
        <v>8.9860572963409915</v>
      </c>
      <c r="K61" s="51">
        <f t="shared" si="2"/>
        <v>11.434572115218632</v>
      </c>
      <c r="L61" s="51">
        <f t="shared" si="3"/>
        <v>12.229316628261598</v>
      </c>
      <c r="M61" s="51">
        <f t="shared" si="4"/>
        <v>12.229316628261598</v>
      </c>
      <c r="N61" s="54">
        <f t="shared" si="5"/>
        <v>0.43444742205658593</v>
      </c>
      <c r="O61" s="51">
        <f t="shared" si="6"/>
        <v>1</v>
      </c>
      <c r="P61" s="52">
        <f t="shared" si="7"/>
        <v>33.267470362334471</v>
      </c>
      <c r="Q61" s="52">
        <f t="shared" si="8"/>
        <v>54.303271004441747</v>
      </c>
      <c r="R61" s="51">
        <f t="shared" si="9"/>
        <v>0.40582274460445228</v>
      </c>
      <c r="S61" s="52">
        <f t="shared" si="10"/>
        <v>3340.1022090291954</v>
      </c>
      <c r="T61" s="243">
        <f t="shared" si="11"/>
        <v>395.32843947240798</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180">
        <f t="shared" si="13"/>
        <v>0</v>
      </c>
      <c r="I62" s="48">
        <f>IF(Weather_Site!M60&lt;180,Weather_Site!M60+180,Weather_Site!M60-180)</f>
        <v>36</v>
      </c>
      <c r="J62" s="51">
        <f t="shared" si="1"/>
        <v>9.5705635947553258</v>
      </c>
      <c r="K62" s="51">
        <f t="shared" si="2"/>
        <v>12.181883284572189</v>
      </c>
      <c r="L62" s="51">
        <f t="shared" si="3"/>
        <v>13.083152612020749</v>
      </c>
      <c r="M62" s="51">
        <f t="shared" si="4"/>
        <v>13.083152612020749</v>
      </c>
      <c r="N62" s="54">
        <f t="shared" si="5"/>
        <v>0.39275203928692176</v>
      </c>
      <c r="O62" s="51">
        <f t="shared" si="6"/>
        <v>1</v>
      </c>
      <c r="P62" s="52">
        <f t="shared" si="7"/>
        <v>30.074679151905038</v>
      </c>
      <c r="Q62" s="52">
        <f t="shared" si="8"/>
        <v>49.091603135734502</v>
      </c>
      <c r="R62" s="51">
        <f t="shared" si="9"/>
        <v>0.37727272486287583</v>
      </c>
      <c r="S62" s="52">
        <f t="shared" si="10"/>
        <v>4161.8704964122253</v>
      </c>
      <c r="T62" s="243">
        <f t="shared" si="11"/>
        <v>357.38743725513825</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180">
        <f t="shared" si="13"/>
        <v>0</v>
      </c>
      <c r="I63" s="48">
        <f>IF(Weather_Site!M61&lt;180,Weather_Site!M61+180,Weather_Site!M61-180)</f>
        <v>8</v>
      </c>
      <c r="J63" s="51">
        <f t="shared" si="1"/>
        <v>10.670821492790337</v>
      </c>
      <c r="K63" s="51">
        <f t="shared" si="2"/>
        <v>13.61608161920463</v>
      </c>
      <c r="L63" s="51">
        <f t="shared" si="3"/>
        <v>14.744448050518923</v>
      </c>
      <c r="M63" s="51">
        <f t="shared" si="4"/>
        <v>14.744448050518923</v>
      </c>
      <c r="N63" s="54">
        <f t="shared" si="5"/>
        <v>0.32847616442937538</v>
      </c>
      <c r="O63" s="51">
        <f t="shared" si="6"/>
        <v>1</v>
      </c>
      <c r="P63" s="52">
        <f t="shared" si="7"/>
        <v>63.423050416234055</v>
      </c>
      <c r="Q63" s="52">
        <f t="shared" si="8"/>
        <v>48.658621802825749</v>
      </c>
      <c r="R63" s="51">
        <f t="shared" si="9"/>
        <v>0.64705434217028179</v>
      </c>
      <c r="S63" s="52">
        <f t="shared" si="10"/>
        <v>682.51188341975922</v>
      </c>
      <c r="T63" s="243">
        <f t="shared" si="11"/>
        <v>753.67724911291475</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180">
        <f t="shared" si="13"/>
        <v>0</v>
      </c>
      <c r="I64" s="27">
        <f>IF(Weather_Site!M62&lt;180,Weather_Site!M62+180,Weather_Site!M62-180)</f>
        <v>9</v>
      </c>
      <c r="J64" s="32">
        <f t="shared" si="1"/>
        <v>11.07709261061065</v>
      </c>
      <c r="K64" s="32">
        <f t="shared" si="2"/>
        <v>14.143443356984694</v>
      </c>
      <c r="L64" s="32">
        <f t="shared" si="3"/>
        <v>15.353641549222925</v>
      </c>
      <c r="M64" s="32">
        <f t="shared" si="4"/>
        <v>14.143443356984694</v>
      </c>
      <c r="N64" s="31">
        <f t="shared" si="5"/>
        <v>0.34956145652454301</v>
      </c>
      <c r="O64" s="32">
        <f t="shared" si="6"/>
        <v>1</v>
      </c>
      <c r="P64" s="33">
        <f t="shared" si="7"/>
        <v>80.235841074501934</v>
      </c>
      <c r="Q64" s="33">
        <f t="shared" si="8"/>
        <v>54.439659138726626</v>
      </c>
      <c r="R64" s="32">
        <f t="shared" si="9"/>
        <v>0.7669630541672996</v>
      </c>
      <c r="S64" s="33">
        <f t="shared" si="10"/>
        <v>195.09751926920626</v>
      </c>
      <c r="T64" s="5">
        <f t="shared" si="11"/>
        <v>953.46924476866457</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180">
        <f t="shared" si="13"/>
        <v>0</v>
      </c>
      <c r="I65" s="27">
        <f>IF(Weather_Site!M63&lt;180,Weather_Site!M63+180,Weather_Site!M63-180)</f>
        <v>358</v>
      </c>
      <c r="J65" s="32">
        <f t="shared" si="1"/>
        <v>10.102279510078006</v>
      </c>
      <c r="K65" s="32">
        <f t="shared" si="2"/>
        <v>12.892112043496887</v>
      </c>
      <c r="L65" s="32">
        <f t="shared" si="3"/>
        <v>13.921737222197176</v>
      </c>
      <c r="M65" s="32">
        <f t="shared" si="4"/>
        <v>12.892112043496887</v>
      </c>
      <c r="N65" s="31">
        <f t="shared" si="5"/>
        <v>0.40148471073395603</v>
      </c>
      <c r="O65" s="32">
        <f t="shared" si="6"/>
        <v>1</v>
      </c>
      <c r="P65" s="33">
        <f t="shared" si="7"/>
        <v>120.63287888562986</v>
      </c>
      <c r="Q65" s="33">
        <f t="shared" si="8"/>
        <v>68.573566615819942</v>
      </c>
      <c r="R65" s="32">
        <f t="shared" si="9"/>
        <v>1.0299491399632745</v>
      </c>
      <c r="S65" s="33">
        <f t="shared" si="10"/>
        <v>233.36924656734118</v>
      </c>
      <c r="T65" s="5">
        <f t="shared" si="11"/>
        <v>1433.5207107575679</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180">
        <f t="shared" si="13"/>
        <v>0</v>
      </c>
      <c r="I66" s="27">
        <f>IF(Weather_Site!M64&lt;180,Weather_Site!M64+180,Weather_Site!M64-180)</f>
        <v>3</v>
      </c>
      <c r="J66" s="32">
        <f t="shared" si="1"/>
        <v>8.575104133831033</v>
      </c>
      <c r="K66" s="32">
        <f t="shared" si="2"/>
        <v>10.939466807577947</v>
      </c>
      <c r="L66" s="32">
        <f t="shared" si="3"/>
        <v>11.698708108217515</v>
      </c>
      <c r="M66" s="32">
        <f t="shared" si="4"/>
        <v>10.939466807577947</v>
      </c>
      <c r="N66" s="31">
        <f t="shared" si="5"/>
        <v>0.51322079628921835</v>
      </c>
      <c r="O66" s="32">
        <f t="shared" si="6"/>
        <v>1</v>
      </c>
      <c r="P66" s="33">
        <f t="shared" si="7"/>
        <v>224.26311870608887</v>
      </c>
      <c r="Q66" s="33">
        <f t="shared" si="8"/>
        <v>102.86823981559819</v>
      </c>
      <c r="R66" s="32">
        <f t="shared" si="9"/>
        <v>1.6125530633203795</v>
      </c>
      <c r="S66" s="33">
        <f t="shared" si="10"/>
        <v>234.01648810074812</v>
      </c>
      <c r="T66" s="5">
        <f t="shared" si="11"/>
        <v>2664.9933939573557</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180">
        <f t="shared" si="13"/>
        <v>0</v>
      </c>
      <c r="I67" s="27">
        <f>IF(Weather_Site!M65&lt;180,Weather_Site!M65+180,Weather_Site!M65-180)</f>
        <v>359</v>
      </c>
      <c r="J67" s="32">
        <f t="shared" si="1"/>
        <v>7.6396276232884937</v>
      </c>
      <c r="K67" s="32">
        <f t="shared" si="2"/>
        <v>9.7478466445761889</v>
      </c>
      <c r="L67" s="32">
        <f t="shared" si="3"/>
        <v>10.347477889937098</v>
      </c>
      <c r="M67" s="32">
        <f t="shared" si="4"/>
        <v>9.7478466445761889</v>
      </c>
      <c r="N67" s="31">
        <f t="shared" si="5"/>
        <v>0.60979661457242873</v>
      </c>
      <c r="O67" s="32">
        <f t="shared" si="6"/>
        <v>1</v>
      </c>
      <c r="P67" s="33">
        <f t="shared" si="7"/>
        <v>139.96836133210087</v>
      </c>
      <c r="Q67" s="33">
        <f t="shared" si="8"/>
        <v>94.967906849139922</v>
      </c>
      <c r="R67" s="32">
        <f t="shared" si="9"/>
        <v>1.1468211286799215</v>
      </c>
      <c r="S67" s="33">
        <f t="shared" si="10"/>
        <v>305.17025988473506</v>
      </c>
      <c r="T67" s="5">
        <f t="shared" si="11"/>
        <v>1663.2906938297988</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180">
        <f t="shared" si="13"/>
        <v>0</v>
      </c>
      <c r="I68" s="27">
        <f>IF(Weather_Site!M66&lt;180,Weather_Site!M66+180,Weather_Site!M66-180)</f>
        <v>338</v>
      </c>
      <c r="J68" s="32">
        <f t="shared" si="1"/>
        <v>6.3542228808655743</v>
      </c>
      <c r="K68" s="32">
        <f t="shared" si="2"/>
        <v>8.108413978616289</v>
      </c>
      <c r="L68" s="32">
        <f t="shared" si="3"/>
        <v>8.4679426643602209</v>
      </c>
      <c r="M68" s="32">
        <f t="shared" si="4"/>
        <v>8.108413978616289</v>
      </c>
      <c r="N68" s="31">
        <f t="shared" si="5"/>
        <v>0.80305318106252743</v>
      </c>
      <c r="O68" s="32">
        <f t="shared" si="6"/>
        <v>1</v>
      </c>
      <c r="P68" s="33">
        <f t="shared" si="7"/>
        <v>296.69111133525934</v>
      </c>
      <c r="Q68" s="33">
        <f t="shared" si="8"/>
        <v>149.12159309611329</v>
      </c>
      <c r="R68" s="32">
        <f t="shared" si="9"/>
        <v>1.9742050695483437</v>
      </c>
      <c r="S68" s="33">
        <f t="shared" si="10"/>
        <v>50</v>
      </c>
      <c r="T68" s="5">
        <f t="shared" si="11"/>
        <v>3525.6793730339982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180">
        <f t="shared" si="13"/>
        <v>0</v>
      </c>
      <c r="I69" s="48">
        <f>IF(Weather_Site!M67&lt;180,Weather_Site!M67+180,Weather_Site!M67-180)</f>
        <v>333</v>
      </c>
      <c r="J69" s="51">
        <f t="shared" si="1"/>
        <v>5.5919939998631438</v>
      </c>
      <c r="K69" s="51">
        <f t="shared" si="2"/>
        <v>7.1277771487163202</v>
      </c>
      <c r="L69" s="51">
        <f t="shared" si="3"/>
        <v>7.3365613931543647</v>
      </c>
      <c r="M69" s="51">
        <f t="shared" si="4"/>
        <v>7.1277771487163202</v>
      </c>
      <c r="N69" s="54">
        <f t="shared" si="5"/>
        <v>0.97372674521107028</v>
      </c>
      <c r="O69" s="51">
        <f t="shared" si="6"/>
        <v>1</v>
      </c>
      <c r="P69" s="52">
        <f t="shared" si="7"/>
        <v>258.31511784944934</v>
      </c>
      <c r="Q69" s="52">
        <f t="shared" si="8"/>
        <v>159.00090335000323</v>
      </c>
      <c r="R69" s="51">
        <f t="shared" si="9"/>
        <v>1.7860779397782705</v>
      </c>
      <c r="S69" s="52">
        <f t="shared" si="10"/>
        <v>72.982231296073678</v>
      </c>
      <c r="T69" s="243">
        <f t="shared" si="11"/>
        <v>3069.6446504442893</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180">
        <f t="shared" si="13"/>
        <v>0</v>
      </c>
      <c r="I70" s="48">
        <f>IF(Weather_Site!M68&lt;180,Weather_Site!M68+180,Weather_Site!M68-180)</f>
        <v>342</v>
      </c>
      <c r="J70" s="51">
        <f t="shared" si="1"/>
        <v>5.1804048753851193</v>
      </c>
      <c r="K70" s="51">
        <f t="shared" si="2"/>
        <v>6.5962236189734345</v>
      </c>
      <c r="L70" s="51">
        <f t="shared" si="3"/>
        <v>6.7167299796949624</v>
      </c>
      <c r="M70" s="51">
        <f t="shared" si="4"/>
        <v>6.5962236189734345</v>
      </c>
      <c r="N70" s="54">
        <f t="shared" si="5"/>
        <v>1.0933442345972124</v>
      </c>
      <c r="O70" s="51">
        <f t="shared" si="6"/>
        <v>1</v>
      </c>
      <c r="P70" s="52">
        <f t="shared" si="7"/>
        <v>290.04784576269844</v>
      </c>
      <c r="Q70" s="52">
        <f t="shared" si="8"/>
        <v>178.53337379142394</v>
      </c>
      <c r="R70" s="51">
        <f t="shared" si="9"/>
        <v>1.9421449348706432</v>
      </c>
      <c r="S70" s="52">
        <f t="shared" si="10"/>
        <v>50</v>
      </c>
      <c r="T70" s="243">
        <f t="shared" si="11"/>
        <v>3446.7352338133996</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180">
        <f t="shared" si="13"/>
        <v>0</v>
      </c>
      <c r="I71" s="48">
        <f>IF(Weather_Site!M69&lt;180,Weather_Site!M69+180,Weather_Site!M69-180)</f>
        <v>18</v>
      </c>
      <c r="J71" s="51">
        <f t="shared" si="1"/>
        <v>4.7565693276904728</v>
      </c>
      <c r="K71" s="51">
        <f t="shared" si="2"/>
        <v>6.0388332919910255</v>
      </c>
      <c r="L71" s="51">
        <f t="shared" si="3"/>
        <v>6.0605880984410847</v>
      </c>
      <c r="M71" s="51">
        <f t="shared" si="4"/>
        <v>4.7565693276904728</v>
      </c>
      <c r="N71" s="54">
        <f t="shared" si="5"/>
        <v>1.7825807829959861</v>
      </c>
      <c r="O71" s="51">
        <f t="shared" si="6"/>
        <v>1</v>
      </c>
      <c r="P71" s="52">
        <f t="shared" si="7"/>
        <v>472.89197641989216</v>
      </c>
      <c r="Q71" s="52">
        <f t="shared" si="8"/>
        <v>291.07956229473763</v>
      </c>
      <c r="R71" s="51">
        <f t="shared" si="9"/>
        <v>2.7654701189407134</v>
      </c>
      <c r="S71" s="52">
        <f t="shared" si="10"/>
        <v>671.79159014277138</v>
      </c>
      <c r="T71" s="243">
        <f t="shared" si="11"/>
        <v>5619.5329864563846</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180">
        <f t="shared" si="13"/>
        <v>0</v>
      </c>
      <c r="I72" s="48">
        <f>IF(Weather_Site!M70&lt;180,Weather_Site!M70+180,Weather_Site!M70-180)</f>
        <v>28</v>
      </c>
      <c r="J72" s="51">
        <f t="shared" si="1"/>
        <v>4.2890228630516471</v>
      </c>
      <c r="K72" s="51">
        <f t="shared" si="2"/>
        <v>5.4100066696591611</v>
      </c>
      <c r="L72" s="51">
        <f t="shared" si="3"/>
        <v>5.3091953464839365</v>
      </c>
      <c r="M72" s="51">
        <f t="shared" si="4"/>
        <v>4.2890228630516471</v>
      </c>
      <c r="N72" s="54">
        <f t="shared" si="5"/>
        <v>2.0807875831183655</v>
      </c>
      <c r="O72" s="51">
        <f t="shared" si="6"/>
        <v>1</v>
      </c>
      <c r="P72" s="52">
        <f t="shared" si="7"/>
        <v>552.001772978291</v>
      </c>
      <c r="Q72" s="52">
        <f t="shared" si="8"/>
        <v>339.77407627185369</v>
      </c>
      <c r="R72" s="51">
        <f t="shared" si="9"/>
        <v>3.0927089094974241</v>
      </c>
      <c r="S72" s="52">
        <f t="shared" si="10"/>
        <v>932.33103747619725</v>
      </c>
      <c r="T72" s="243">
        <f t="shared" si="11"/>
        <v>6559.6210688920237</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180">
        <f t="shared" si="13"/>
        <v>0</v>
      </c>
      <c r="I73" s="48">
        <f>IF(Weather_Site!M71&lt;180,Weather_Site!M71+180,Weather_Site!M71-180)</f>
        <v>32</v>
      </c>
      <c r="J73" s="51">
        <f t="shared" si="1"/>
        <v>4.0124296848285974</v>
      </c>
      <c r="K73" s="51">
        <f t="shared" si="2"/>
        <v>5.0337940496719487</v>
      </c>
      <c r="L73" s="51">
        <f t="shared" si="3"/>
        <v>4.8527692592000351</v>
      </c>
      <c r="M73" s="51">
        <f t="shared" si="4"/>
        <v>4.0124296848285974</v>
      </c>
      <c r="N73" s="54">
        <f t="shared" si="5"/>
        <v>2.2988433743385213</v>
      </c>
      <c r="O73" s="51">
        <f t="shared" si="6"/>
        <v>1</v>
      </c>
      <c r="P73" s="52">
        <f t="shared" si="7"/>
        <v>443.86678553367477</v>
      </c>
      <c r="Q73" s="52">
        <f t="shared" si="8"/>
        <v>340.53779984367856</v>
      </c>
      <c r="R73" s="51">
        <f t="shared" si="9"/>
        <v>2.6416772026231423</v>
      </c>
      <c r="S73" s="52">
        <f t="shared" si="10"/>
        <v>650.8993275857224</v>
      </c>
      <c r="T73" s="243">
        <f t="shared" si="11"/>
        <v>5274.6169680918356</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180">
        <f t="shared" si="13"/>
        <v>0</v>
      </c>
      <c r="I74" s="27">
        <f>IF(Weather_Site!M72&lt;180,Weather_Site!M72+180,Weather_Site!M72-180)</f>
        <v>36</v>
      </c>
      <c r="J74" s="32">
        <f t="shared" si="1"/>
        <v>3.8927622127760335</v>
      </c>
      <c r="K74" s="32">
        <f t="shared" si="2"/>
        <v>4.8591053263046859</v>
      </c>
      <c r="L74" s="32">
        <f t="shared" si="3"/>
        <v>4.6373861251479909</v>
      </c>
      <c r="M74" s="32">
        <f t="shared" si="4"/>
        <v>3.8927622127760335</v>
      </c>
      <c r="N74" s="31">
        <f t="shared" si="5"/>
        <v>2.4052929218585128</v>
      </c>
      <c r="O74" s="32">
        <f t="shared" si="6"/>
        <v>1</v>
      </c>
      <c r="P74" s="33">
        <f t="shared" si="7"/>
        <v>638.08817784669827</v>
      </c>
      <c r="Q74" s="33">
        <f t="shared" si="8"/>
        <v>392.76290733286953</v>
      </c>
      <c r="R74" s="32">
        <f t="shared" si="9"/>
        <v>3.4343521819212466</v>
      </c>
      <c r="S74" s="33">
        <f t="shared" si="10"/>
        <v>1202.1810037798696</v>
      </c>
      <c r="T74" s="5">
        <f t="shared" si="11"/>
        <v>7582.6145134115986</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180">
        <f t="shared" si="13"/>
        <v>0</v>
      </c>
      <c r="I75" s="27">
        <f>IF(Weather_Site!M73&lt;180,Weather_Site!M73+180,Weather_Site!M73-180)</f>
        <v>38</v>
      </c>
      <c r="J75" s="32">
        <f t="shared" si="1"/>
        <v>3.7528803847817267</v>
      </c>
      <c r="K75" s="32">
        <f t="shared" si="2"/>
        <v>4.6603071509939058</v>
      </c>
      <c r="L75" s="32">
        <f t="shared" si="3"/>
        <v>4.3910553705692994</v>
      </c>
      <c r="M75" s="32">
        <f t="shared" si="4"/>
        <v>3.7528803847817267</v>
      </c>
      <c r="N75" s="31">
        <f t="shared" si="5"/>
        <v>2.5405528731151588</v>
      </c>
      <c r="O75" s="32">
        <f t="shared" si="6"/>
        <v>1</v>
      </c>
      <c r="P75" s="33">
        <f t="shared" si="7"/>
        <v>583.14036849290085</v>
      </c>
      <c r="Q75" s="33">
        <f t="shared" si="8"/>
        <v>395.65813065145869</v>
      </c>
      <c r="R75" s="32">
        <f t="shared" si="9"/>
        <v>3.2178814489074479</v>
      </c>
      <c r="S75" s="33">
        <f t="shared" si="10"/>
        <v>1075.7551482373742</v>
      </c>
      <c r="T75" s="5">
        <f t="shared" si="11"/>
        <v>6929.6513789239716</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180">
        <f t="shared" si="13"/>
        <v>0</v>
      </c>
      <c r="I76" s="27">
        <f>IF(Weather_Site!M74&lt;180,Weather_Site!M74+180,Weather_Site!M74-180)</f>
        <v>25</v>
      </c>
      <c r="J76" s="32">
        <f t="shared" si="1"/>
        <v>3.8542306702406215</v>
      </c>
      <c r="K76" s="32">
        <f t="shared" si="2"/>
        <v>4.8044047349901362</v>
      </c>
      <c r="L76" s="32">
        <f t="shared" si="3"/>
        <v>4.5698157752565649</v>
      </c>
      <c r="M76" s="32">
        <f t="shared" si="4"/>
        <v>4.8044047349901362</v>
      </c>
      <c r="N76" s="31">
        <f t="shared" si="5"/>
        <v>1.7561124270657207</v>
      </c>
      <c r="O76" s="32">
        <f t="shared" si="6"/>
        <v>1</v>
      </c>
      <c r="P76" s="33">
        <f t="shared" si="7"/>
        <v>527.65371148628287</v>
      </c>
      <c r="Q76" s="33">
        <f t="shared" si="8"/>
        <v>299.94390641206434</v>
      </c>
      <c r="R76" s="32">
        <f t="shared" si="9"/>
        <v>2.9934665446632538</v>
      </c>
      <c r="S76" s="33">
        <f t="shared" si="10"/>
        <v>816.25539350689542</v>
      </c>
      <c r="T76" s="5">
        <f t="shared" si="11"/>
        <v>6270.2849381619944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180">
        <f t="shared" si="13"/>
        <v>0</v>
      </c>
      <c r="I77" s="27">
        <f>IF(Weather_Site!M75&lt;180,Weather_Site!M75+180,Weather_Site!M75-180)</f>
        <v>22</v>
      </c>
      <c r="J77" s="32">
        <f t="shared" si="1"/>
        <v>3.8680822273062834</v>
      </c>
      <c r="K77" s="32">
        <f t="shared" si="2"/>
        <v>4.8269006360747246</v>
      </c>
      <c r="L77" s="32">
        <f t="shared" si="3"/>
        <v>4.5979459184153253</v>
      </c>
      <c r="M77" s="32">
        <f t="shared" si="4"/>
        <v>4.8269006360747246</v>
      </c>
      <c r="N77" s="31">
        <f t="shared" si="5"/>
        <v>1.7438908595772213</v>
      </c>
      <c r="O77" s="32">
        <f t="shared" si="6"/>
        <v>1</v>
      </c>
      <c r="P77" s="33">
        <f t="shared" si="7"/>
        <v>462.62811936075593</v>
      </c>
      <c r="Q77" s="33">
        <f t="shared" si="8"/>
        <v>284.76184245764659</v>
      </c>
      <c r="R77" s="32">
        <f t="shared" si="9"/>
        <v>2.7219418243111746</v>
      </c>
      <c r="S77" s="33">
        <f t="shared" si="10"/>
        <v>637.10699323061181</v>
      </c>
      <c r="T77" s="5">
        <f t="shared" si="11"/>
        <v>5497.5641517369822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180">
        <f t="shared" si="13"/>
        <v>0</v>
      </c>
      <c r="I78" s="27">
        <f>IF(Weather_Site!M76&lt;180,Weather_Site!M76+180,Weather_Site!M76-180)</f>
        <v>26</v>
      </c>
      <c r="J78" s="32">
        <f t="shared" si="1"/>
        <v>4.1530173811184925</v>
      </c>
      <c r="K78" s="32">
        <f t="shared" si="2"/>
        <v>5.2194844271584948</v>
      </c>
      <c r="L78" s="32">
        <f t="shared" si="3"/>
        <v>5.0781625881718853</v>
      </c>
      <c r="M78" s="32">
        <f t="shared" si="4"/>
        <v>5.0781625881718853</v>
      </c>
      <c r="N78" s="31">
        <f t="shared" si="5"/>
        <v>1.6164866724205933</v>
      </c>
      <c r="O78" s="32">
        <f t="shared" si="6"/>
        <v>1</v>
      </c>
      <c r="P78" s="33">
        <f t="shared" si="7"/>
        <v>428.82969718355275</v>
      </c>
      <c r="Q78" s="33">
        <f t="shared" si="8"/>
        <v>263.95787363568968</v>
      </c>
      <c r="R78" s="32">
        <f t="shared" si="9"/>
        <v>2.5766654416191552</v>
      </c>
      <c r="S78" s="33">
        <f t="shared" si="10"/>
        <v>521.54090054348762</v>
      </c>
      <c r="T78" s="5">
        <f t="shared" si="11"/>
        <v>5095.9262348645525</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180">
        <f t="shared" si="13"/>
        <v>0</v>
      </c>
      <c r="I79" s="48">
        <f>IF(Weather_Site!M77&lt;180,Weather_Site!M77+180,Weather_Site!M77-180)</f>
        <v>19</v>
      </c>
      <c r="J79" s="51">
        <f t="shared" ref="J79:J142" si="14">((1.6779*D79^0.09655)*(196.1*D79^0.3204)+(18.944*317433^(1/D79))*E79^(1.5002*0.0196^(1/D79)))/((196.1*D79^0.3204)+E79^(1.5002*0.0196^(1/D79)))</f>
        <v>4.9480534218161853</v>
      </c>
      <c r="K79" s="51">
        <f t="shared" ref="K79:K142" si="15">((2.143+0.0322*D79-0.0006135*D79^2)*(663.6+17.8*D79)+((193-1.366*D79)*E79^(0.9367+0.00487*D79)))/((663.6+17.8*D79)+E79^(0.9367+0.00487*D79))</f>
        <v>6.2872332908612911</v>
      </c>
      <c r="L79" s="51">
        <f t="shared" ref="L79:L142" si="16">(2.943-0.0415*D79)+(0.196*1.2256^(1/D79))*E79</f>
        <v>6.3539246590279657</v>
      </c>
      <c r="M79" s="51">
        <f t="shared" ref="M79:M142" si="17">IF(AND(OR(MONTH(B79)&gt;10,MONTH(B79)&lt;3),AND(HOUR(C79)&gt;=13,HOUR(C79)&lt;=17)),J79,IF(OR(HOUR(C79)&lt;6,HOUR(C79)&gt;=20),L79,K79))</f>
        <v>6.3539246590279657</v>
      </c>
      <c r="N79" s="54">
        <f t="shared" ref="N79:N142" si="18">M79^-1.495/0.0545</f>
        <v>1.1562603057852403</v>
      </c>
      <c r="O79" s="51">
        <f t="shared" ref="O79:O142" si="19">EXP(0.069*H79)</f>
        <v>1</v>
      </c>
      <c r="P79" s="52">
        <f t="shared" ref="P79:P142" si="20">(30+3.102*(IF(G79&lt;5,0,G79-5))^0.904*EXP(0.279*$D$6+0.611*$D$7+0.013*$C$8))*N79*O79</f>
        <v>223.25381141581954</v>
      </c>
      <c r="Q79" s="52">
        <f t="shared" ref="Q79:Q142" si="21">(30+3.102*(IF((0.2*G79+4)&lt;5,0,(0.2*G79+6)-5))^0.904*EXP(0.279*$D$6+0.611*$D$7+0.013*$C$8))*N79</f>
        <v>171.28193463462213</v>
      </c>
      <c r="R79" s="51">
        <f t="shared" ref="R79:R142" si="22">0.0193*P79^0.723*EXP(0.64*$C$10)</f>
        <v>1.6073027042327179</v>
      </c>
      <c r="S79" s="52">
        <f t="shared" ref="S79:S142" si="23">MAX(50,ABS(176.969*(ATAN($D$6)*(P79/G79^0.25)^0.5)+1568800*($D$6^-1*(P79/G79^0.25)^-1.5)-3015.09))</f>
        <v>148.20077436052998</v>
      </c>
      <c r="T79" s="243">
        <f t="shared" ref="T79:T142" si="24">18600*P79/3600*F$11/10</f>
        <v>2652.9994589913222</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180">
        <f t="shared" si="13"/>
        <v>0</v>
      </c>
      <c r="I80" s="48">
        <f>IF(Weather_Site!M78&lt;180,Weather_Site!M78+180,Weather_Site!M78-180)</f>
        <v>12</v>
      </c>
      <c r="J80" s="51">
        <f t="shared" si="14"/>
        <v>5.6119890320642263</v>
      </c>
      <c r="K80" s="51">
        <f t="shared" si="15"/>
        <v>7.1562955254709726</v>
      </c>
      <c r="L80" s="51">
        <f t="shared" si="16"/>
        <v>7.3692318301313069</v>
      </c>
      <c r="M80" s="51">
        <f t="shared" si="17"/>
        <v>7.3692318301313069</v>
      </c>
      <c r="N80" s="54">
        <f t="shared" si="18"/>
        <v>0.92641862973514422</v>
      </c>
      <c r="O80" s="51">
        <f t="shared" si="19"/>
        <v>1</v>
      </c>
      <c r="P80" s="52">
        <f t="shared" si="20"/>
        <v>144.2776755880877</v>
      </c>
      <c r="Q80" s="52">
        <f t="shared" si="21"/>
        <v>130.14276731821329</v>
      </c>
      <c r="R80" s="51">
        <f t="shared" si="22"/>
        <v>1.172241412039603</v>
      </c>
      <c r="S80" s="52">
        <f t="shared" si="23"/>
        <v>309.63325512049005</v>
      </c>
      <c r="T80" s="243">
        <f t="shared" si="24"/>
        <v>1714.4997115717756</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180">
        <f t="shared" si="13"/>
        <v>0</v>
      </c>
      <c r="I81" s="48">
        <f>IF(Weather_Site!M79&lt;180,Weather_Site!M79+180,Weather_Site!M79-180)</f>
        <v>5</v>
      </c>
      <c r="J81" s="51">
        <f t="shared" si="14"/>
        <v>6.1372110374081972</v>
      </c>
      <c r="K81" s="51">
        <f t="shared" si="15"/>
        <v>7.8352571131536779</v>
      </c>
      <c r="L81" s="51">
        <f t="shared" si="16"/>
        <v>8.1517279132128984</v>
      </c>
      <c r="M81" s="51">
        <f t="shared" si="17"/>
        <v>8.1517279132128984</v>
      </c>
      <c r="N81" s="54">
        <f t="shared" si="18"/>
        <v>0.79668241821517882</v>
      </c>
      <c r="O81" s="51">
        <f t="shared" si="19"/>
        <v>1</v>
      </c>
      <c r="P81" s="52">
        <f t="shared" si="20"/>
        <v>93.332827243278729</v>
      </c>
      <c r="Q81" s="52">
        <f t="shared" si="21"/>
        <v>105.77366789928476</v>
      </c>
      <c r="R81" s="51">
        <f t="shared" si="22"/>
        <v>0.85556098269405867</v>
      </c>
      <c r="S81" s="52">
        <f t="shared" si="23"/>
        <v>137.59119160224327</v>
      </c>
      <c r="T81" s="243">
        <f t="shared" si="24"/>
        <v>1109.1050970742958</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180">
        <f t="shared" si="13"/>
        <v>0</v>
      </c>
      <c r="I82" s="48">
        <f>IF(Weather_Site!M80&lt;180,Weather_Site!M80+180,Weather_Site!M80-180)</f>
        <v>2</v>
      </c>
      <c r="J82" s="51">
        <f t="shared" si="14"/>
        <v>6.5021798268838902</v>
      </c>
      <c r="K82" s="51">
        <f t="shared" si="15"/>
        <v>8.2999329588631383</v>
      </c>
      <c r="L82" s="51">
        <f t="shared" si="16"/>
        <v>8.6852915536542188</v>
      </c>
      <c r="M82" s="51">
        <f t="shared" si="17"/>
        <v>8.6852915536542188</v>
      </c>
      <c r="N82" s="54">
        <f t="shared" si="18"/>
        <v>0.72463752024813055</v>
      </c>
      <c r="O82" s="51">
        <f t="shared" si="19"/>
        <v>1</v>
      </c>
      <c r="P82" s="52">
        <f t="shared" si="20"/>
        <v>84.892633432070497</v>
      </c>
      <c r="Q82" s="52">
        <f t="shared" si="21"/>
        <v>96.208434705766251</v>
      </c>
      <c r="R82" s="51">
        <f t="shared" si="22"/>
        <v>0.7988938870050506</v>
      </c>
      <c r="S82" s="52">
        <f t="shared" si="23"/>
        <v>50</v>
      </c>
      <c r="T82" s="243">
        <f t="shared" si="24"/>
        <v>1008.8074606177712</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180">
        <f t="shared" ref="H83:H114" si="25">C$4</f>
        <v>0</v>
      </c>
      <c r="I83" s="48">
        <f>IF(Weather_Site!M81&lt;180,Weather_Site!M81+180,Weather_Site!M81-180)</f>
        <v>16</v>
      </c>
      <c r="J83" s="51">
        <f t="shared" si="14"/>
        <v>6.7537423269066492</v>
      </c>
      <c r="K83" s="51">
        <f t="shared" si="15"/>
        <v>8.6211514335256823</v>
      </c>
      <c r="L83" s="51">
        <f t="shared" si="16"/>
        <v>9.0502230260792391</v>
      </c>
      <c r="M83" s="51">
        <f t="shared" si="17"/>
        <v>9.0502230260792391</v>
      </c>
      <c r="N83" s="54">
        <f t="shared" si="18"/>
        <v>0.68139331980063633</v>
      </c>
      <c r="O83" s="51">
        <f t="shared" si="19"/>
        <v>1</v>
      </c>
      <c r="P83" s="52">
        <f t="shared" si="20"/>
        <v>131.56523229037094</v>
      </c>
      <c r="Q83" s="52">
        <f t="shared" si="21"/>
        <v>100.93779530319544</v>
      </c>
      <c r="R83" s="51">
        <f t="shared" si="22"/>
        <v>1.096617382688557</v>
      </c>
      <c r="S83" s="52">
        <f t="shared" si="23"/>
        <v>298.69795936156333</v>
      </c>
      <c r="T83" s="243">
        <f t="shared" si="24"/>
        <v>1563.433510383908</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180">
        <f t="shared" si="25"/>
        <v>0</v>
      </c>
      <c r="I84" s="27">
        <f>IF(Weather_Site!M82&lt;180,Weather_Site!M82+180,Weather_Site!M82-180)</f>
        <v>359</v>
      </c>
      <c r="J84" s="32">
        <f t="shared" si="14"/>
        <v>7.0151345301157093</v>
      </c>
      <c r="K84" s="32">
        <f t="shared" si="15"/>
        <v>8.9526151677858774</v>
      </c>
      <c r="L84" s="32">
        <f t="shared" si="16"/>
        <v>9.4265789516470875</v>
      </c>
      <c r="M84" s="32">
        <f t="shared" si="17"/>
        <v>9.4265789516470875</v>
      </c>
      <c r="N84" s="31">
        <f t="shared" si="18"/>
        <v>0.64112705534023995</v>
      </c>
      <c r="O84" s="32">
        <f t="shared" si="19"/>
        <v>1</v>
      </c>
      <c r="P84" s="33">
        <f t="shared" si="20"/>
        <v>170.08140288966322</v>
      </c>
      <c r="Q84" s="33">
        <f t="shared" si="21"/>
        <v>104.69033685536556</v>
      </c>
      <c r="R84" s="32">
        <f t="shared" si="22"/>
        <v>1.3203253793846972</v>
      </c>
      <c r="S84" s="33">
        <f t="shared" si="23"/>
        <v>299.54270970314792</v>
      </c>
      <c r="T84" s="5">
        <f t="shared" si="24"/>
        <v>2021.1340043388311</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180">
        <f t="shared" si="25"/>
        <v>0</v>
      </c>
      <c r="I85" s="27">
        <f>IF(Weather_Site!M83&lt;180,Weather_Site!M83+180,Weather_Site!M83-180)</f>
        <v>357</v>
      </c>
      <c r="J85" s="32">
        <f t="shared" si="14"/>
        <v>7.6331136869625027</v>
      </c>
      <c r="K85" s="32">
        <f t="shared" si="15"/>
        <v>9.7364724261092963</v>
      </c>
      <c r="L85" s="32">
        <f t="shared" si="16"/>
        <v>10.322617870077078</v>
      </c>
      <c r="M85" s="32">
        <f t="shared" si="17"/>
        <v>10.322617870077078</v>
      </c>
      <c r="N85" s="31">
        <f t="shared" si="18"/>
        <v>0.55974171106214821</v>
      </c>
      <c r="O85" s="32">
        <f t="shared" si="19"/>
        <v>1</v>
      </c>
      <c r="P85" s="33">
        <f t="shared" si="20"/>
        <v>148.4910903078144</v>
      </c>
      <c r="Q85" s="33">
        <f t="shared" si="21"/>
        <v>91.400835130872423</v>
      </c>
      <c r="R85" s="32">
        <f t="shared" si="22"/>
        <v>1.1968933943729887</v>
      </c>
      <c r="S85" s="33">
        <f t="shared" si="23"/>
        <v>308.86975077709758</v>
      </c>
      <c r="T85" s="5">
        <f t="shared" si="24"/>
        <v>1764.569123157861</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180">
        <f t="shared" si="25"/>
        <v>0</v>
      </c>
      <c r="I86" s="27">
        <f>IF(Weather_Site!M84&lt;180,Weather_Site!M84+180,Weather_Site!M84-180)</f>
        <v>1</v>
      </c>
      <c r="J86" s="32">
        <f t="shared" si="14"/>
        <v>8.1117435989666671</v>
      </c>
      <c r="K86" s="32">
        <f t="shared" si="15"/>
        <v>10.347441513070471</v>
      </c>
      <c r="L86" s="32">
        <f t="shared" si="16"/>
        <v>11.023170668552</v>
      </c>
      <c r="M86" s="32">
        <f t="shared" si="17"/>
        <v>11.023170668552</v>
      </c>
      <c r="N86" s="31">
        <f t="shared" si="18"/>
        <v>0.50740557322227919</v>
      </c>
      <c r="O86" s="32">
        <f t="shared" si="19"/>
        <v>1</v>
      </c>
      <c r="P86" s="33">
        <f t="shared" si="20"/>
        <v>152.45859536847342</v>
      </c>
      <c r="Q86" s="33">
        <f t="shared" si="21"/>
        <v>86.664844130647154</v>
      </c>
      <c r="R86" s="32">
        <f t="shared" si="22"/>
        <v>1.2199300176754706</v>
      </c>
      <c r="S86" s="33">
        <f t="shared" si="23"/>
        <v>309.15857446542987</v>
      </c>
      <c r="T86" s="5">
        <f t="shared" si="24"/>
        <v>1811.7163082953589</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180">
        <f t="shared" si="25"/>
        <v>0</v>
      </c>
      <c r="I87" s="27">
        <f>IF(Weather_Site!M85&lt;180,Weather_Site!M85+180,Weather_Site!M85-180)</f>
        <v>4</v>
      </c>
      <c r="J87" s="32">
        <f t="shared" si="14"/>
        <v>8.7141879772253947</v>
      </c>
      <c r="K87" s="32">
        <f t="shared" si="15"/>
        <v>11.121437370834364</v>
      </c>
      <c r="L87" s="32">
        <f t="shared" si="16"/>
        <v>11.911924946838079</v>
      </c>
      <c r="M87" s="32">
        <f t="shared" si="17"/>
        <v>11.911924946838079</v>
      </c>
      <c r="N87" s="31">
        <f t="shared" si="18"/>
        <v>0.45186685333886151</v>
      </c>
      <c r="O87" s="32">
        <f t="shared" si="19"/>
        <v>1</v>
      </c>
      <c r="P87" s="33">
        <f t="shared" si="20"/>
        <v>197.45316343839832</v>
      </c>
      <c r="Q87" s="33">
        <f t="shared" si="21"/>
        <v>90.570663094850588</v>
      </c>
      <c r="R87" s="32">
        <f t="shared" si="22"/>
        <v>1.4707424417232189</v>
      </c>
      <c r="S87" s="33">
        <f t="shared" si="23"/>
        <v>285.70183009788798</v>
      </c>
      <c r="T87" s="5">
        <f t="shared" si="24"/>
        <v>2346.4017588596334</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180">
        <f t="shared" si="25"/>
        <v>0</v>
      </c>
      <c r="I88" s="27">
        <f>IF(Weather_Site!M86&lt;180,Weather_Site!M86+180,Weather_Site!M86-180)</f>
        <v>2</v>
      </c>
      <c r="J88" s="32">
        <f t="shared" si="14"/>
        <v>9.0845170726307298</v>
      </c>
      <c r="K88" s="32">
        <f t="shared" si="15"/>
        <v>11.594719559358154</v>
      </c>
      <c r="L88" s="32">
        <f t="shared" si="16"/>
        <v>12.449842454108376</v>
      </c>
      <c r="M88" s="32">
        <f t="shared" si="17"/>
        <v>11.594719559358154</v>
      </c>
      <c r="N88" s="31">
        <f t="shared" si="18"/>
        <v>0.4704726977154457</v>
      </c>
      <c r="O88" s="32">
        <f t="shared" si="19"/>
        <v>1</v>
      </c>
      <c r="P88" s="33">
        <f t="shared" si="20"/>
        <v>221.25219925878417</v>
      </c>
      <c r="Q88" s="33">
        <f t="shared" si="21"/>
        <v>97.744006352433772</v>
      </c>
      <c r="R88" s="32">
        <f t="shared" si="22"/>
        <v>1.5968709335063078</v>
      </c>
      <c r="S88" s="33">
        <f t="shared" si="23"/>
        <v>247.97907918484361</v>
      </c>
      <c r="T88" s="5">
        <f t="shared" si="24"/>
        <v>2629.2136345252188</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180">
        <f t="shared" si="25"/>
        <v>0</v>
      </c>
      <c r="I89" s="48">
        <f>IF(Weather_Site!M87&lt;180,Weather_Site!M87+180,Weather_Site!M87-180)</f>
        <v>356</v>
      </c>
      <c r="J89" s="51">
        <f t="shared" si="14"/>
        <v>8.6716560729681671</v>
      </c>
      <c r="K89" s="51">
        <f t="shared" si="15"/>
        <v>11.063953329069166</v>
      </c>
      <c r="L89" s="51">
        <f t="shared" si="16"/>
        <v>11.842070249390027</v>
      </c>
      <c r="M89" s="51">
        <f t="shared" si="17"/>
        <v>11.063953329069166</v>
      </c>
      <c r="N89" s="54">
        <f t="shared" si="18"/>
        <v>0.50461196816502962</v>
      </c>
      <c r="O89" s="51">
        <f t="shared" si="19"/>
        <v>1</v>
      </c>
      <c r="P89" s="52">
        <f t="shared" si="20"/>
        <v>253.97880980516086</v>
      </c>
      <c r="Q89" s="52">
        <f t="shared" si="21"/>
        <v>108.51455376029895</v>
      </c>
      <c r="R89" s="51">
        <f t="shared" si="22"/>
        <v>1.7643496857573366</v>
      </c>
      <c r="S89" s="52">
        <f t="shared" si="23"/>
        <v>178.65330787133144</v>
      </c>
      <c r="T89" s="243">
        <f t="shared" si="24"/>
        <v>3018.1148565179951</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180">
        <f t="shared" si="25"/>
        <v>0</v>
      </c>
      <c r="I90" s="48">
        <f>IF(Weather_Site!M88&lt;180,Weather_Site!M88+180,Weather_Site!M88-180)</f>
        <v>359</v>
      </c>
      <c r="J90" s="51">
        <f t="shared" si="14"/>
        <v>7.7881207815522924</v>
      </c>
      <c r="K90" s="51">
        <f t="shared" si="15"/>
        <v>9.9374955219421608</v>
      </c>
      <c r="L90" s="51">
        <f t="shared" si="16"/>
        <v>10.563399414429774</v>
      </c>
      <c r="M90" s="51">
        <f t="shared" si="17"/>
        <v>9.9374955219421608</v>
      </c>
      <c r="N90" s="54">
        <f t="shared" si="18"/>
        <v>0.59248104883230845</v>
      </c>
      <c r="O90" s="51">
        <f t="shared" si="19"/>
        <v>1</v>
      </c>
      <c r="P90" s="52">
        <f t="shared" si="20"/>
        <v>375.16725976207078</v>
      </c>
      <c r="Q90" s="52">
        <f t="shared" si="21"/>
        <v>144.51159040538647</v>
      </c>
      <c r="R90" s="51">
        <f t="shared" si="22"/>
        <v>2.3392719269633302</v>
      </c>
      <c r="S90" s="52">
        <f t="shared" si="23"/>
        <v>123.54759076993696</v>
      </c>
      <c r="T90" s="243">
        <f t="shared" si="24"/>
        <v>4458.2376035059406</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180">
        <f t="shared" si="25"/>
        <v>0</v>
      </c>
      <c r="I91" s="48">
        <f>IF(Weather_Site!M89&lt;180,Weather_Site!M89+180,Weather_Site!M89-180)</f>
        <v>347</v>
      </c>
      <c r="J91" s="51">
        <f t="shared" si="14"/>
        <v>7.3123642690057684</v>
      </c>
      <c r="K91" s="51">
        <f t="shared" si="15"/>
        <v>9.328349122292904</v>
      </c>
      <c r="L91" s="51">
        <f t="shared" si="16"/>
        <v>9.8759124867637791</v>
      </c>
      <c r="M91" s="51">
        <f t="shared" si="17"/>
        <v>9.328349122292904</v>
      </c>
      <c r="N91" s="54">
        <f t="shared" si="18"/>
        <v>0.65124639802868034</v>
      </c>
      <c r="O91" s="51">
        <f t="shared" si="19"/>
        <v>1</v>
      </c>
      <c r="P91" s="52">
        <f t="shared" si="20"/>
        <v>262.69668900340201</v>
      </c>
      <c r="Q91" s="52">
        <f t="shared" si="21"/>
        <v>125.74438455014435</v>
      </c>
      <c r="R91" s="51">
        <f t="shared" si="22"/>
        <v>1.8079306141270504</v>
      </c>
      <c r="S91" s="52">
        <f t="shared" si="23"/>
        <v>122.18593703272336</v>
      </c>
      <c r="T91" s="243">
        <f t="shared" si="24"/>
        <v>3121.7123209904271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180">
        <f t="shared" si="25"/>
        <v>0</v>
      </c>
      <c r="I92" s="48">
        <f>IF(Weather_Site!M90&lt;180,Weather_Site!M90+180,Weather_Site!M90-180)</f>
        <v>344</v>
      </c>
      <c r="J92" s="51">
        <f t="shared" si="14"/>
        <v>6.4642708643768172</v>
      </c>
      <c r="K92" s="51">
        <f t="shared" si="15"/>
        <v>8.2371007539141292</v>
      </c>
      <c r="L92" s="51">
        <f t="shared" si="16"/>
        <v>8.6242073289785086</v>
      </c>
      <c r="M92" s="51">
        <f t="shared" si="17"/>
        <v>8.2371007539141292</v>
      </c>
      <c r="N92" s="54">
        <f t="shared" si="18"/>
        <v>0.78436968862429646</v>
      </c>
      <c r="O92" s="51">
        <f t="shared" si="19"/>
        <v>1</v>
      </c>
      <c r="P92" s="52">
        <f t="shared" si="20"/>
        <v>446.05651392189691</v>
      </c>
      <c r="Q92" s="52">
        <f t="shared" si="21"/>
        <v>180.03861840442048</v>
      </c>
      <c r="R92" s="51">
        <f t="shared" si="22"/>
        <v>2.6510930504184964</v>
      </c>
      <c r="S92" s="52">
        <f t="shared" si="23"/>
        <v>365.88694950953413</v>
      </c>
      <c r="T92" s="243">
        <f t="shared" si="24"/>
        <v>5300.6382404385413</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180">
        <f t="shared" si="25"/>
        <v>0</v>
      </c>
      <c r="I93" s="48">
        <f>IF(Weather_Site!M91&lt;180,Weather_Site!M91+180,Weather_Site!M91-180)</f>
        <v>345</v>
      </c>
      <c r="J93" s="51">
        <f t="shared" si="14"/>
        <v>5.8481575171805584</v>
      </c>
      <c r="K93" s="51">
        <f t="shared" si="15"/>
        <v>7.435717194028328</v>
      </c>
      <c r="L93" s="51">
        <f t="shared" si="16"/>
        <v>7.6995728391109193</v>
      </c>
      <c r="M93" s="51">
        <f t="shared" si="17"/>
        <v>7.435717194028328</v>
      </c>
      <c r="N93" s="54">
        <f t="shared" si="18"/>
        <v>0.91406234088046212</v>
      </c>
      <c r="O93" s="51">
        <f t="shared" si="19"/>
        <v>1</v>
      </c>
      <c r="P93" s="52">
        <f t="shared" si="20"/>
        <v>460.06135420992479</v>
      </c>
      <c r="Q93" s="52">
        <f t="shared" si="21"/>
        <v>196.56503073129366</v>
      </c>
      <c r="R93" s="51">
        <f t="shared" si="22"/>
        <v>2.711014706376023</v>
      </c>
      <c r="S93" s="52">
        <f t="shared" si="23"/>
        <v>445.06743224819365</v>
      </c>
      <c r="T93" s="243">
        <f t="shared" si="24"/>
        <v>5467.0624258612725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180">
        <f t="shared" si="25"/>
        <v>0</v>
      </c>
      <c r="I94" s="27">
        <f>IF(Weather_Site!M92&lt;180,Weather_Site!M92+180,Weather_Site!M92-180)</f>
        <v>350</v>
      </c>
      <c r="J94" s="32">
        <f t="shared" si="14"/>
        <v>5.3079614983038343</v>
      </c>
      <c r="K94" s="32">
        <f t="shared" si="15"/>
        <v>6.7301619801639365</v>
      </c>
      <c r="L94" s="32">
        <f t="shared" si="16"/>
        <v>6.8766755107986173</v>
      </c>
      <c r="M94" s="32">
        <f t="shared" si="17"/>
        <v>6.7301619801639365</v>
      </c>
      <c r="N94" s="31">
        <f t="shared" si="18"/>
        <v>1.0609754870736698</v>
      </c>
      <c r="O94" s="32">
        <f t="shared" si="19"/>
        <v>1</v>
      </c>
      <c r="P94" s="33">
        <f t="shared" si="20"/>
        <v>498.95171603919096</v>
      </c>
      <c r="Q94" s="33">
        <f t="shared" si="21"/>
        <v>220.4251070293312</v>
      </c>
      <c r="R94" s="32">
        <f t="shared" si="22"/>
        <v>2.8748314954339178</v>
      </c>
      <c r="S94" s="33">
        <f t="shared" si="23"/>
        <v>585.63533455152128</v>
      </c>
      <c r="T94" s="5">
        <f t="shared" si="24"/>
        <v>5929.2095589323862</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180">
        <f t="shared" si="25"/>
        <v>0</v>
      </c>
      <c r="I95" s="27">
        <f>IF(Weather_Site!M93&lt;180,Weather_Site!M93+180,Weather_Site!M93-180)</f>
        <v>14</v>
      </c>
      <c r="J95" s="32">
        <f t="shared" si="14"/>
        <v>4.7947029358536195</v>
      </c>
      <c r="K95" s="32">
        <f t="shared" si="15"/>
        <v>6.0537361899240683</v>
      </c>
      <c r="L95" s="32">
        <f t="shared" si="16"/>
        <v>6.0785637255854068</v>
      </c>
      <c r="M95" s="32">
        <f t="shared" si="17"/>
        <v>4.7947029358536195</v>
      </c>
      <c r="N95" s="31">
        <f t="shared" si="18"/>
        <v>1.761427404803769</v>
      </c>
      <c r="O95" s="32">
        <f t="shared" si="19"/>
        <v>1</v>
      </c>
      <c r="P95" s="33">
        <f t="shared" si="20"/>
        <v>886.55296357130203</v>
      </c>
      <c r="Q95" s="33">
        <f t="shared" si="21"/>
        <v>378.78710944670138</v>
      </c>
      <c r="R95" s="32">
        <f t="shared" si="22"/>
        <v>4.3561875718596976</v>
      </c>
      <c r="S95" s="33">
        <f t="shared" si="23"/>
        <v>1629.3113641248874</v>
      </c>
      <c r="T95" s="5">
        <f t="shared" si="24"/>
        <v>10535.204383772307</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180">
        <f t="shared" si="25"/>
        <v>0</v>
      </c>
      <c r="I96" s="27">
        <f>IF(Weather_Site!M94&lt;180,Weather_Site!M94+180,Weather_Site!M94-180)</f>
        <v>18</v>
      </c>
      <c r="J96" s="32">
        <f t="shared" si="14"/>
        <v>4.2962107459382057</v>
      </c>
      <c r="K96" s="32">
        <f t="shared" si="15"/>
        <v>5.3846087460431384</v>
      </c>
      <c r="L96" s="32">
        <f t="shared" si="16"/>
        <v>5.2768662841713212</v>
      </c>
      <c r="M96" s="32">
        <f t="shared" si="17"/>
        <v>4.2962107459382057</v>
      </c>
      <c r="N96" s="31">
        <f t="shared" si="18"/>
        <v>2.0755851748359579</v>
      </c>
      <c r="O96" s="32">
        <f t="shared" si="19"/>
        <v>1</v>
      </c>
      <c r="P96" s="33">
        <f t="shared" si="20"/>
        <v>1044.6733046602478</v>
      </c>
      <c r="Q96" s="33">
        <f t="shared" si="21"/>
        <v>446.34533710693893</v>
      </c>
      <c r="R96" s="32">
        <f t="shared" si="22"/>
        <v>4.9049996763958275</v>
      </c>
      <c r="S96" s="33">
        <f t="shared" si="23"/>
        <v>2008.7139771069014</v>
      </c>
      <c r="T96" s="5">
        <f t="shared" si="24"/>
        <v>12414.20110371261</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180">
        <f t="shared" si="25"/>
        <v>0</v>
      </c>
      <c r="I97" s="27">
        <f>IF(Weather_Site!M95&lt;180,Weather_Site!M95+180,Weather_Site!M95-180)</f>
        <v>20</v>
      </c>
      <c r="J97" s="32">
        <f t="shared" si="14"/>
        <v>3.9489810948570216</v>
      </c>
      <c r="K97" s="32">
        <f t="shared" si="15"/>
        <v>4.9166839320683486</v>
      </c>
      <c r="L97" s="32">
        <f t="shared" si="16"/>
        <v>4.7065373424941876</v>
      </c>
      <c r="M97" s="32">
        <f t="shared" si="17"/>
        <v>3.9489810948570216</v>
      </c>
      <c r="N97" s="31">
        <f t="shared" si="18"/>
        <v>2.3542812350457094</v>
      </c>
      <c r="O97" s="32">
        <f t="shared" si="19"/>
        <v>1</v>
      </c>
      <c r="P97" s="33">
        <f t="shared" si="20"/>
        <v>1107.1628671693882</v>
      </c>
      <c r="Q97" s="33">
        <f t="shared" si="21"/>
        <v>489.11845705636296</v>
      </c>
      <c r="R97" s="32">
        <f t="shared" si="22"/>
        <v>5.1154165789311259</v>
      </c>
      <c r="S97" s="33">
        <f t="shared" si="23"/>
        <v>2187.4733471969439</v>
      </c>
      <c r="T97" s="5">
        <f t="shared" si="24"/>
        <v>13156.785404862898</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180">
        <f t="shared" si="25"/>
        <v>0</v>
      </c>
      <c r="I98" s="27">
        <f>IF(Weather_Site!M96&lt;180,Weather_Site!M96+180,Weather_Site!M96-180)</f>
        <v>22</v>
      </c>
      <c r="J98" s="32">
        <f t="shared" si="14"/>
        <v>3.7980577321488092</v>
      </c>
      <c r="K98" s="32">
        <f t="shared" si="15"/>
        <v>4.708092458522354</v>
      </c>
      <c r="L98" s="32">
        <f t="shared" si="16"/>
        <v>4.4489211159486191</v>
      </c>
      <c r="M98" s="32">
        <f t="shared" si="17"/>
        <v>3.7980577321488092</v>
      </c>
      <c r="N98" s="31">
        <f t="shared" si="18"/>
        <v>2.4955079782052447</v>
      </c>
      <c r="O98" s="32">
        <f t="shared" si="19"/>
        <v>1</v>
      </c>
      <c r="P98" s="33">
        <f t="shared" si="20"/>
        <v>1337.8678604972729</v>
      </c>
      <c r="Q98" s="33">
        <f t="shared" si="21"/>
        <v>554.76063839580172</v>
      </c>
      <c r="R98" s="32">
        <f t="shared" si="22"/>
        <v>5.8656053906130055</v>
      </c>
      <c r="S98" s="33">
        <f t="shared" si="23"/>
        <v>2612.6352317911687</v>
      </c>
      <c r="T98" s="5">
        <f t="shared" si="24"/>
        <v>15898.329742242593</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180">
        <f t="shared" si="25"/>
        <v>0</v>
      </c>
      <c r="I99" s="48">
        <f>IF(Weather_Site!M97&lt;180,Weather_Site!M97+180,Weather_Site!M97-180)</f>
        <v>23</v>
      </c>
      <c r="J99" s="51">
        <f t="shared" si="14"/>
        <v>3.6520736939895015</v>
      </c>
      <c r="K99" s="51">
        <f t="shared" si="15"/>
        <v>4.5109968643169385</v>
      </c>
      <c r="L99" s="51">
        <f t="shared" si="16"/>
        <v>4.2039383567723938</v>
      </c>
      <c r="M99" s="51">
        <f t="shared" si="17"/>
        <v>3.6520736939895015</v>
      </c>
      <c r="N99" s="54">
        <f t="shared" si="18"/>
        <v>2.6461039234761703</v>
      </c>
      <c r="O99" s="51">
        <f t="shared" si="19"/>
        <v>1</v>
      </c>
      <c r="P99" s="52">
        <f t="shared" si="20"/>
        <v>1418.6039177885339</v>
      </c>
      <c r="Q99" s="52">
        <f t="shared" si="21"/>
        <v>588.23867311577192</v>
      </c>
      <c r="R99" s="51">
        <f t="shared" si="22"/>
        <v>6.1194402505639651</v>
      </c>
      <c r="S99" s="52">
        <f t="shared" si="23"/>
        <v>2776.284549826295</v>
      </c>
      <c r="T99" s="243">
        <f t="shared" si="24"/>
        <v>16857.743223053745</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180">
        <f t="shared" si="25"/>
        <v>0</v>
      </c>
      <c r="I100" s="48">
        <f>IF(Weather_Site!M98&lt;180,Weather_Site!M98+180,Weather_Site!M98-180)</f>
        <v>24</v>
      </c>
      <c r="J100" s="51">
        <f t="shared" si="14"/>
        <v>3.7286354122230576</v>
      </c>
      <c r="K100" s="51">
        <f t="shared" si="15"/>
        <v>4.6283920145276722</v>
      </c>
      <c r="L100" s="51">
        <f t="shared" si="16"/>
        <v>4.3516201240786891</v>
      </c>
      <c r="M100" s="51">
        <f t="shared" si="17"/>
        <v>4.6283920145276722</v>
      </c>
      <c r="N100" s="54">
        <f t="shared" si="18"/>
        <v>1.8568868684109541</v>
      </c>
      <c r="O100" s="51">
        <f t="shared" si="19"/>
        <v>1</v>
      </c>
      <c r="P100" s="52">
        <f t="shared" si="20"/>
        <v>1116.0717767929862</v>
      </c>
      <c r="Q100" s="52">
        <f t="shared" si="21"/>
        <v>439.58883922502685</v>
      </c>
      <c r="R100" s="51">
        <f t="shared" si="22"/>
        <v>5.1451434860214125</v>
      </c>
      <c r="S100" s="52">
        <f t="shared" si="23"/>
        <v>2075.9645295704595</v>
      </c>
      <c r="T100" s="243">
        <f t="shared" si="24"/>
        <v>13262.652947556653</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180">
        <f t="shared" si="25"/>
        <v>0</v>
      </c>
      <c r="I101" s="48">
        <f>IF(Weather_Site!M99&lt;180,Weather_Site!M99+180,Weather_Site!M99-180)</f>
        <v>24</v>
      </c>
      <c r="J101" s="51">
        <f t="shared" si="14"/>
        <v>3.7570268584481861</v>
      </c>
      <c r="K101" s="51">
        <f t="shared" si="15"/>
        <v>4.6791968870207645</v>
      </c>
      <c r="L101" s="51">
        <f t="shared" si="16"/>
        <v>4.4162626884871141</v>
      </c>
      <c r="M101" s="51">
        <f t="shared" si="17"/>
        <v>4.6791968870207645</v>
      </c>
      <c r="N101" s="54">
        <f t="shared" si="18"/>
        <v>1.8268268041648288</v>
      </c>
      <c r="O101" s="51">
        <f t="shared" si="19"/>
        <v>1</v>
      </c>
      <c r="P101" s="52">
        <f t="shared" si="20"/>
        <v>979.38090734729644</v>
      </c>
      <c r="Q101" s="52">
        <f t="shared" si="21"/>
        <v>406.11034425380251</v>
      </c>
      <c r="R101" s="51">
        <f t="shared" si="22"/>
        <v>4.6813823635958061</v>
      </c>
      <c r="S101" s="52">
        <f t="shared" si="23"/>
        <v>1823.861824757777</v>
      </c>
      <c r="T101" s="243">
        <f t="shared" si="24"/>
        <v>11638.309782310373</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180">
        <f t="shared" si="25"/>
        <v>0</v>
      </c>
      <c r="I102" s="48">
        <f>IF(Weather_Site!M100&lt;180,Weather_Site!M100+180,Weather_Site!M100-180)</f>
        <v>24</v>
      </c>
      <c r="J102" s="51">
        <f t="shared" si="14"/>
        <v>3.9542920310118888</v>
      </c>
      <c r="K102" s="51">
        <f t="shared" si="15"/>
        <v>4.9685359598092518</v>
      </c>
      <c r="L102" s="51">
        <f t="shared" si="16"/>
        <v>4.7752125897595485</v>
      </c>
      <c r="M102" s="51">
        <f t="shared" si="17"/>
        <v>4.7752125897595485</v>
      </c>
      <c r="N102" s="54">
        <f t="shared" si="18"/>
        <v>1.7721863817901435</v>
      </c>
      <c r="O102" s="51">
        <f t="shared" si="19"/>
        <v>1</v>
      </c>
      <c r="P102" s="52">
        <f t="shared" si="20"/>
        <v>833.41740417993196</v>
      </c>
      <c r="Q102" s="52">
        <f t="shared" si="21"/>
        <v>368.184164140723</v>
      </c>
      <c r="R102" s="51">
        <f t="shared" si="22"/>
        <v>4.1658124984731106</v>
      </c>
      <c r="S102" s="52">
        <f t="shared" si="23"/>
        <v>1525.9699042661605</v>
      </c>
      <c r="T102" s="243">
        <f t="shared" si="24"/>
        <v>9903.7768196715242</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180">
        <f t="shared" si="25"/>
        <v>0</v>
      </c>
      <c r="I103" s="48">
        <f>IF(Weather_Site!M101&lt;180,Weather_Site!M101+180,Weather_Site!M101-180)</f>
        <v>18</v>
      </c>
      <c r="J103" s="51">
        <f t="shared" si="14"/>
        <v>4.406402489242299</v>
      </c>
      <c r="K103" s="51">
        <f t="shared" si="15"/>
        <v>5.5989915114048774</v>
      </c>
      <c r="L103" s="51">
        <f t="shared" si="16"/>
        <v>5.5404460209439925</v>
      </c>
      <c r="M103" s="51">
        <f t="shared" si="17"/>
        <v>5.5404460209439925</v>
      </c>
      <c r="N103" s="54">
        <f t="shared" si="18"/>
        <v>1.4190710143510528</v>
      </c>
      <c r="O103" s="51">
        <f t="shared" si="19"/>
        <v>1</v>
      </c>
      <c r="P103" s="52">
        <f t="shared" si="20"/>
        <v>572.41814781492826</v>
      </c>
      <c r="Q103" s="52">
        <f t="shared" si="21"/>
        <v>273.99800117537666</v>
      </c>
      <c r="R103" s="51">
        <f t="shared" si="22"/>
        <v>3.1749936984233313</v>
      </c>
      <c r="S103" s="52">
        <f t="shared" si="23"/>
        <v>860.14891504132993</v>
      </c>
      <c r="T103" s="243">
        <f t="shared" si="24"/>
        <v>6802.2356565340642</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180">
        <f t="shared" si="25"/>
        <v>0</v>
      </c>
      <c r="I104" s="27">
        <f>IF(Weather_Site!M102&lt;180,Weather_Site!M102+180,Weather_Site!M102-180)</f>
        <v>11</v>
      </c>
      <c r="J104" s="32">
        <f t="shared" si="14"/>
        <v>5.0013761812757247</v>
      </c>
      <c r="K104" s="32">
        <f t="shared" si="15"/>
        <v>6.3863653456796365</v>
      </c>
      <c r="L104" s="32">
        <f t="shared" si="16"/>
        <v>6.4718957549555549</v>
      </c>
      <c r="M104" s="32">
        <f t="shared" si="17"/>
        <v>6.4718957549555549</v>
      </c>
      <c r="N104" s="31">
        <f t="shared" si="18"/>
        <v>1.1248934430271382</v>
      </c>
      <c r="O104" s="32">
        <f t="shared" si="19"/>
        <v>1</v>
      </c>
      <c r="P104" s="33">
        <f t="shared" si="20"/>
        <v>415.59624395470979</v>
      </c>
      <c r="Q104" s="33">
        <f t="shared" si="21"/>
        <v>208.88517254315906</v>
      </c>
      <c r="R104" s="32">
        <f t="shared" si="22"/>
        <v>2.5189274582050487</v>
      </c>
      <c r="S104" s="33">
        <f t="shared" si="23"/>
        <v>390.96180798627029</v>
      </c>
      <c r="T104" s="5">
        <f t="shared" si="24"/>
        <v>4938.6686989951349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180">
        <f t="shared" si="25"/>
        <v>0</v>
      </c>
      <c r="I105" s="27">
        <f>IF(Weather_Site!M103&lt;180,Weather_Site!M103+180,Weather_Site!M103-180)</f>
        <v>5</v>
      </c>
      <c r="J105" s="32">
        <f t="shared" si="14"/>
        <v>5.4875213241085765</v>
      </c>
      <c r="K105" s="32">
        <f t="shared" si="15"/>
        <v>7.0168026671676769</v>
      </c>
      <c r="L105" s="32">
        <f t="shared" si="16"/>
        <v>7.2055406362520538</v>
      </c>
      <c r="M105" s="32">
        <f t="shared" si="17"/>
        <v>7.2055406362520538</v>
      </c>
      <c r="N105" s="31">
        <f t="shared" si="18"/>
        <v>0.95805837779059966</v>
      </c>
      <c r="O105" s="32">
        <f t="shared" si="19"/>
        <v>1</v>
      </c>
      <c r="P105" s="33">
        <f t="shared" si="20"/>
        <v>287.86486051261147</v>
      </c>
      <c r="Q105" s="33">
        <f t="shared" si="21"/>
        <v>163.63631848188243</v>
      </c>
      <c r="R105" s="32">
        <f t="shared" si="22"/>
        <v>1.9315656815831002</v>
      </c>
      <c r="S105" s="33">
        <f t="shared" si="23"/>
        <v>50</v>
      </c>
      <c r="T105" s="5">
        <f t="shared" si="24"/>
        <v>3420.7940924248664</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25"/>
        <v>0</v>
      </c>
      <c r="I106" s="27">
        <f>IF(Weather_Site!M104&lt;180,Weather_Site!M104+180,Weather_Site!M104-180)</f>
        <v>355</v>
      </c>
      <c r="J106" s="32">
        <f t="shared" si="14"/>
        <v>5.5748214055802876</v>
      </c>
      <c r="K106" s="32">
        <f t="shared" si="15"/>
        <v>7.1325125980743946</v>
      </c>
      <c r="L106" s="32">
        <f t="shared" si="16"/>
        <v>7.3390078056774684</v>
      </c>
      <c r="M106" s="32">
        <f t="shared" si="17"/>
        <v>7.3390078056774684</v>
      </c>
      <c r="N106" s="31">
        <f t="shared" si="18"/>
        <v>0.93212822794540562</v>
      </c>
      <c r="O106" s="32">
        <f t="shared" si="19"/>
        <v>1</v>
      </c>
      <c r="P106" s="33">
        <f t="shared" si="20"/>
        <v>280.0737079677408</v>
      </c>
      <c r="Q106" s="33">
        <f t="shared" si="21"/>
        <v>159.20745030775691</v>
      </c>
      <c r="R106" s="32">
        <f t="shared" si="22"/>
        <v>1.8936250340469234</v>
      </c>
      <c r="S106" s="33">
        <f t="shared" si="23"/>
        <v>50</v>
      </c>
      <c r="T106" s="5">
        <f t="shared" si="24"/>
        <v>3328.2092296833193</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25"/>
        <v>0</v>
      </c>
      <c r="I107" s="27">
        <f>IF(Weather_Site!M105&lt;180,Weather_Site!M105+180,Weather_Site!M105-180)</f>
        <v>357</v>
      </c>
      <c r="J107" s="32">
        <f t="shared" si="14"/>
        <v>5.7265079723032581</v>
      </c>
      <c r="K107" s="32">
        <f t="shared" si="15"/>
        <v>7.3291234450641936</v>
      </c>
      <c r="L107" s="32">
        <f t="shared" si="16"/>
        <v>7.5648038442493846</v>
      </c>
      <c r="M107" s="32">
        <f t="shared" si="17"/>
        <v>7.5648038442493846</v>
      </c>
      <c r="N107" s="31">
        <f t="shared" si="18"/>
        <v>0.8908426050533973</v>
      </c>
      <c r="O107" s="32">
        <f t="shared" si="19"/>
        <v>1</v>
      </c>
      <c r="P107" s="33">
        <f t="shared" si="20"/>
        <v>329.12525440517567</v>
      </c>
      <c r="Q107" s="33">
        <f t="shared" si="21"/>
        <v>165.42350070475686</v>
      </c>
      <c r="R107" s="32">
        <f t="shared" si="22"/>
        <v>2.1279834059012042</v>
      </c>
      <c r="S107" s="33">
        <f t="shared" si="23"/>
        <v>103.82689038985518</v>
      </c>
      <c r="T107" s="5">
        <f t="shared" si="24"/>
        <v>3911.1051065148376</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25"/>
        <v>0</v>
      </c>
      <c r="I108" s="27">
        <f>IF(Weather_Site!M106&lt;180,Weather_Site!M106+180,Weather_Site!M106-180)</f>
        <v>0</v>
      </c>
      <c r="J108" s="32">
        <f t="shared" si="14"/>
        <v>6.0225401406782373</v>
      </c>
      <c r="K108" s="32">
        <f t="shared" si="15"/>
        <v>7.7040029540447952</v>
      </c>
      <c r="L108" s="32">
        <f t="shared" si="16"/>
        <v>7.993210821121588</v>
      </c>
      <c r="M108" s="32">
        <f t="shared" si="17"/>
        <v>7.993210821121588</v>
      </c>
      <c r="N108" s="31">
        <f t="shared" si="18"/>
        <v>0.82041804222551362</v>
      </c>
      <c r="O108" s="32">
        <f t="shared" si="19"/>
        <v>1</v>
      </c>
      <c r="P108" s="33">
        <f t="shared" si="20"/>
        <v>303.10662661883271</v>
      </c>
      <c r="Q108" s="33">
        <f t="shared" si="21"/>
        <v>152.34613142256777</v>
      </c>
      <c r="R108" s="32">
        <f t="shared" si="22"/>
        <v>2.0049778562802989</v>
      </c>
      <c r="S108" s="33">
        <f t="shared" si="23"/>
        <v>50</v>
      </c>
      <c r="T108" s="5">
        <f t="shared" si="24"/>
        <v>3601.9170796537956</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25"/>
        <v>0</v>
      </c>
      <c r="I109" s="27">
        <f>IF(Weather_Site!M107&lt;180,Weather_Site!M107+180,Weather_Site!M107-180)</f>
        <v>353</v>
      </c>
      <c r="J109" s="32">
        <f t="shared" si="14"/>
        <v>6.9089122997779251</v>
      </c>
      <c r="K109" s="32">
        <f t="shared" si="15"/>
        <v>8.8171925139383127</v>
      </c>
      <c r="L109" s="32">
        <f t="shared" si="16"/>
        <v>9.2627078903019235</v>
      </c>
      <c r="M109" s="32">
        <f t="shared" si="17"/>
        <v>9.2627078903019235</v>
      </c>
      <c r="N109" s="31">
        <f t="shared" si="18"/>
        <v>0.65815810687562826</v>
      </c>
      <c r="O109" s="32">
        <f t="shared" si="19"/>
        <v>1</v>
      </c>
      <c r="P109" s="33">
        <f t="shared" si="20"/>
        <v>243.15906439082573</v>
      </c>
      <c r="Q109" s="33">
        <f t="shared" si="21"/>
        <v>122.21554900829643</v>
      </c>
      <c r="R109" s="32">
        <f t="shared" si="22"/>
        <v>1.7096802270315135</v>
      </c>
      <c r="S109" s="33">
        <f t="shared" si="23"/>
        <v>165.75518471909891</v>
      </c>
      <c r="T109" s="5">
        <f t="shared" si="24"/>
        <v>2889.5402151776457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25"/>
        <v>0</v>
      </c>
      <c r="I110" s="27">
        <f>IF(Weather_Site!M108&lt;180,Weather_Site!M108+180,Weather_Site!M108-180)</f>
        <v>351</v>
      </c>
      <c r="J110" s="32">
        <f t="shared" si="14"/>
        <v>7.956206215589698</v>
      </c>
      <c r="K110" s="32">
        <f t="shared" si="15"/>
        <v>10.142876464065511</v>
      </c>
      <c r="L110" s="32">
        <f t="shared" si="16"/>
        <v>10.778200780710232</v>
      </c>
      <c r="M110" s="32">
        <f t="shared" si="17"/>
        <v>10.778200780710232</v>
      </c>
      <c r="N110" s="31">
        <f t="shared" si="18"/>
        <v>0.5247432064715587</v>
      </c>
      <c r="O110" s="32">
        <f t="shared" si="19"/>
        <v>1</v>
      </c>
      <c r="P110" s="33">
        <f t="shared" si="20"/>
        <v>193.86841216130131</v>
      </c>
      <c r="Q110" s="33">
        <f t="shared" si="21"/>
        <v>97.441296243752475</v>
      </c>
      <c r="R110" s="32">
        <f t="shared" si="22"/>
        <v>1.4513885188582869</v>
      </c>
      <c r="S110" s="33">
        <f t="shared" si="23"/>
        <v>281.00823632471111</v>
      </c>
      <c r="T110" s="5">
        <f t="shared" si="24"/>
        <v>2303.8029645167971</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25"/>
        <v>0</v>
      </c>
      <c r="I111" s="27">
        <f>IF(Weather_Site!M109&lt;180,Weather_Site!M109+180,Weather_Site!M109-180)</f>
        <v>348</v>
      </c>
      <c r="J111" s="32">
        <f t="shared" si="14"/>
        <v>8.7618685048194642</v>
      </c>
      <c r="K111" s="32">
        <f t="shared" si="15"/>
        <v>11.175758630228051</v>
      </c>
      <c r="L111" s="32">
        <f t="shared" si="16"/>
        <v>11.964707572904244</v>
      </c>
      <c r="M111" s="32">
        <f t="shared" si="17"/>
        <v>11.964707572904244</v>
      </c>
      <c r="N111" s="31">
        <f t="shared" si="18"/>
        <v>0.44888994279179251</v>
      </c>
      <c r="O111" s="32">
        <f t="shared" si="19"/>
        <v>1</v>
      </c>
      <c r="P111" s="33">
        <f t="shared" si="20"/>
        <v>196.15233687754608</v>
      </c>
      <c r="Q111" s="33">
        <f t="shared" si="21"/>
        <v>89.973981217811243</v>
      </c>
      <c r="R111" s="32">
        <f t="shared" si="22"/>
        <v>1.4637306755568724</v>
      </c>
      <c r="S111" s="33">
        <f t="shared" si="23"/>
        <v>287.63677259473025</v>
      </c>
      <c r="T111" s="5">
        <f t="shared" si="24"/>
        <v>2330.9436032281724</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25"/>
        <v>0</v>
      </c>
      <c r="I112" s="27">
        <f>IF(Weather_Site!M110&lt;180,Weather_Site!M110+180,Weather_Site!M110-180)</f>
        <v>354</v>
      </c>
      <c r="J112" s="32">
        <f t="shared" si="14"/>
        <v>9.1385606918676885</v>
      </c>
      <c r="K112" s="32">
        <f t="shared" si="15"/>
        <v>11.650556404609995</v>
      </c>
      <c r="L112" s="32">
        <f t="shared" si="16"/>
        <v>12.497941362318478</v>
      </c>
      <c r="M112" s="32">
        <f t="shared" si="17"/>
        <v>11.650556404609995</v>
      </c>
      <c r="N112" s="31">
        <f t="shared" si="18"/>
        <v>0.46710576876557575</v>
      </c>
      <c r="O112" s="32">
        <f t="shared" si="19"/>
        <v>1</v>
      </c>
      <c r="P112" s="33">
        <f t="shared" si="20"/>
        <v>219.66881208557703</v>
      </c>
      <c r="Q112" s="33">
        <f t="shared" si="21"/>
        <v>97.044503222364099</v>
      </c>
      <c r="R112" s="32">
        <f t="shared" si="22"/>
        <v>1.5886002918914</v>
      </c>
      <c r="S112" s="33">
        <f t="shared" si="23"/>
        <v>251.27021106474285</v>
      </c>
      <c r="T112" s="5">
        <f t="shared" si="24"/>
        <v>2610.3977169502737</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25"/>
        <v>0</v>
      </c>
      <c r="I113" s="27">
        <f>IF(Weather_Site!M111&lt;180,Weather_Site!M111+180,Weather_Site!M111-180)</f>
        <v>336</v>
      </c>
      <c r="J113" s="32">
        <f t="shared" si="14"/>
        <v>8.6847086626687169</v>
      </c>
      <c r="K113" s="32">
        <f t="shared" si="15"/>
        <v>11.065469573585982</v>
      </c>
      <c r="L113" s="32">
        <f t="shared" si="16"/>
        <v>11.824335090608926</v>
      </c>
      <c r="M113" s="32">
        <f t="shared" si="17"/>
        <v>11.065469573585982</v>
      </c>
      <c r="N113" s="31">
        <f t="shared" si="18"/>
        <v>0.50450860080961946</v>
      </c>
      <c r="O113" s="32">
        <f t="shared" si="19"/>
        <v>1</v>
      </c>
      <c r="P113" s="33">
        <f t="shared" si="20"/>
        <v>270.47232397672792</v>
      </c>
      <c r="Q113" s="33">
        <f t="shared" si="21"/>
        <v>112.15412489388488</v>
      </c>
      <c r="R113" s="32">
        <f t="shared" si="22"/>
        <v>1.8464641997445206</v>
      </c>
      <c r="S113" s="33">
        <f t="shared" si="23"/>
        <v>144.54784135524824</v>
      </c>
      <c r="T113" s="5">
        <f t="shared" si="24"/>
        <v>3214.1127832567831</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25"/>
        <v>0</v>
      </c>
      <c r="I114" s="27">
        <f>IF(Weather_Site!M112&lt;180,Weather_Site!M112+180,Weather_Site!M112-180)</f>
        <v>337</v>
      </c>
      <c r="J114" s="32">
        <f t="shared" si="14"/>
        <v>7.6442339252605969</v>
      </c>
      <c r="K114" s="32">
        <f t="shared" si="15"/>
        <v>9.7481680383708706</v>
      </c>
      <c r="L114" s="32">
        <f t="shared" si="16"/>
        <v>10.330157394331289</v>
      </c>
      <c r="M114" s="32">
        <f t="shared" si="17"/>
        <v>9.7481680383708706</v>
      </c>
      <c r="N114" s="31">
        <f t="shared" si="18"/>
        <v>0.60976655816022407</v>
      </c>
      <c r="O114" s="32">
        <f t="shared" si="19"/>
        <v>1</v>
      </c>
      <c r="P114" s="33">
        <f t="shared" si="20"/>
        <v>425.01943408302606</v>
      </c>
      <c r="Q114" s="33">
        <f t="shared" si="21"/>
        <v>157.43173268113944</v>
      </c>
      <c r="R114" s="32">
        <f t="shared" si="22"/>
        <v>2.5600923859703189</v>
      </c>
      <c r="S114" s="33">
        <f t="shared" si="23"/>
        <v>244.47868183866831</v>
      </c>
      <c r="T114" s="5">
        <f t="shared" si="24"/>
        <v>5050.6476083532925</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ref="H115:H146" si="26">C$4</f>
        <v>0</v>
      </c>
      <c r="I115" s="27">
        <f>IF(Weather_Site!M113&lt;180,Weather_Site!M113+180,Weather_Site!M113-180)</f>
        <v>341</v>
      </c>
      <c r="J115" s="32">
        <f t="shared" si="14"/>
        <v>7.0247006642249739</v>
      </c>
      <c r="K115" s="32">
        <f t="shared" si="15"/>
        <v>8.9644979619528069</v>
      </c>
      <c r="L115" s="32">
        <f t="shared" si="16"/>
        <v>9.4438191045580631</v>
      </c>
      <c r="M115" s="32">
        <f t="shared" si="17"/>
        <v>8.9644979619528069</v>
      </c>
      <c r="N115" s="31">
        <f t="shared" si="18"/>
        <v>0.69115772803528253</v>
      </c>
      <c r="O115" s="32">
        <f t="shared" si="19"/>
        <v>1</v>
      </c>
      <c r="P115" s="33">
        <f t="shared" si="20"/>
        <v>325.03515741736203</v>
      </c>
      <c r="Q115" s="33">
        <f t="shared" si="21"/>
        <v>143.59287093100207</v>
      </c>
      <c r="R115" s="32">
        <f t="shared" si="22"/>
        <v>2.1088307168538591</v>
      </c>
      <c r="S115" s="33">
        <f t="shared" si="23"/>
        <v>50</v>
      </c>
      <c r="T115" s="5">
        <f t="shared" si="24"/>
        <v>3862.5011206429854</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si="26"/>
        <v>0</v>
      </c>
      <c r="I116" s="27">
        <f>IF(Weather_Site!M114&lt;180,Weather_Site!M114+180,Weather_Site!M114-180)</f>
        <v>343</v>
      </c>
      <c r="J116" s="32">
        <f t="shared" si="14"/>
        <v>6.1073720966665359</v>
      </c>
      <c r="K116" s="32">
        <f t="shared" si="15"/>
        <v>7.7970422479482968</v>
      </c>
      <c r="L116" s="32">
        <f t="shared" si="16"/>
        <v>8.1078422772163989</v>
      </c>
      <c r="M116" s="32">
        <f t="shared" si="17"/>
        <v>7.7970422479482968</v>
      </c>
      <c r="N116" s="31">
        <f t="shared" si="18"/>
        <v>0.85146797083867953</v>
      </c>
      <c r="O116" s="32">
        <f t="shared" si="19"/>
        <v>1</v>
      </c>
      <c r="P116" s="33">
        <f t="shared" si="20"/>
        <v>539.16138925336497</v>
      </c>
      <c r="Q116" s="33">
        <f t="shared" si="21"/>
        <v>207.68088850715486</v>
      </c>
      <c r="R116" s="32">
        <f t="shared" si="22"/>
        <v>3.0405263000956486</v>
      </c>
      <c r="S116" s="33">
        <f t="shared" si="23"/>
        <v>605.68389475686263</v>
      </c>
      <c r="T116" s="5">
        <f t="shared" si="24"/>
        <v>6407.0345089608218</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26"/>
        <v>0</v>
      </c>
      <c r="I117" s="27">
        <f>IF(Weather_Site!M115&lt;180,Weather_Site!M115+180,Weather_Site!M115-180)</f>
        <v>339</v>
      </c>
      <c r="J117" s="32">
        <f t="shared" si="14"/>
        <v>5.6232957897992373</v>
      </c>
      <c r="K117" s="32">
        <f t="shared" si="15"/>
        <v>7.1693932397223907</v>
      </c>
      <c r="L117" s="32">
        <f t="shared" si="16"/>
        <v>7.3846733362277366</v>
      </c>
      <c r="M117" s="32">
        <f t="shared" si="17"/>
        <v>7.1693932397223907</v>
      </c>
      <c r="N117" s="31">
        <f t="shared" si="18"/>
        <v>0.96528888784113209</v>
      </c>
      <c r="O117" s="32">
        <f t="shared" si="19"/>
        <v>1</v>
      </c>
      <c r="P117" s="33">
        <f t="shared" si="20"/>
        <v>548.94191155339217</v>
      </c>
      <c r="Q117" s="33">
        <f t="shared" si="21"/>
        <v>221.56551973963386</v>
      </c>
      <c r="R117" s="32">
        <f t="shared" si="22"/>
        <v>3.0803045966138418</v>
      </c>
      <c r="S117" s="33">
        <f t="shared" si="23"/>
        <v>671.26005971111999</v>
      </c>
      <c r="T117" s="5">
        <f t="shared" si="24"/>
        <v>6523.2597156261445</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26"/>
        <v>0</v>
      </c>
      <c r="I118" s="27">
        <f>IF(Weather_Site!M116&lt;180,Weather_Site!M116+180,Weather_Site!M116-180)</f>
        <v>344</v>
      </c>
      <c r="J118" s="32">
        <f t="shared" si="14"/>
        <v>5.0095599920745402</v>
      </c>
      <c r="K118" s="32">
        <f t="shared" si="15"/>
        <v>6.3724184772803643</v>
      </c>
      <c r="L118" s="32">
        <f t="shared" si="16"/>
        <v>6.454198799668756</v>
      </c>
      <c r="M118" s="32">
        <f t="shared" si="17"/>
        <v>6.3724184772803643</v>
      </c>
      <c r="N118" s="31">
        <f t="shared" si="18"/>
        <v>1.1512471997134741</v>
      </c>
      <c r="O118" s="32">
        <f t="shared" si="19"/>
        <v>1</v>
      </c>
      <c r="P118" s="33">
        <f t="shared" si="20"/>
        <v>654.69295921825017</v>
      </c>
      <c r="Q118" s="33">
        <f t="shared" si="21"/>
        <v>264.24906301759341</v>
      </c>
      <c r="R118" s="32">
        <f t="shared" si="22"/>
        <v>3.4987371743520836</v>
      </c>
      <c r="S118" s="33">
        <f t="shared" si="23"/>
        <v>970.15906256740527</v>
      </c>
      <c r="T118" s="5">
        <f t="shared" si="24"/>
        <v>7779.9346653768716</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26"/>
        <v>0</v>
      </c>
      <c r="I119" s="27">
        <f>IF(Weather_Site!M117&lt;180,Weather_Site!M117+180,Weather_Site!M117-180)</f>
        <v>358</v>
      </c>
      <c r="J119" s="32">
        <f t="shared" si="14"/>
        <v>4.4715352826193353</v>
      </c>
      <c r="K119" s="32">
        <f t="shared" si="15"/>
        <v>5.6651698992904427</v>
      </c>
      <c r="L119" s="32">
        <f t="shared" si="16"/>
        <v>5.616462212885855</v>
      </c>
      <c r="M119" s="32">
        <f t="shared" si="17"/>
        <v>4.4715352826193353</v>
      </c>
      <c r="N119" s="31">
        <f t="shared" si="18"/>
        <v>1.9551081593579152</v>
      </c>
      <c r="O119" s="32">
        <f t="shared" si="19"/>
        <v>1</v>
      </c>
      <c r="P119" s="33">
        <f t="shared" si="20"/>
        <v>1111.8337979543828</v>
      </c>
      <c r="Q119" s="33">
        <f t="shared" si="21"/>
        <v>448.76156861616045</v>
      </c>
      <c r="R119" s="32">
        <f t="shared" si="22"/>
        <v>5.1310105901816776</v>
      </c>
      <c r="S119" s="33">
        <f t="shared" si="23"/>
        <v>2096.6399475421877</v>
      </c>
      <c r="T119" s="5">
        <f t="shared" si="24"/>
        <v>13212.291632357916</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26"/>
        <v>0</v>
      </c>
      <c r="I120" s="27">
        <f>IF(Weather_Site!M118&lt;180,Weather_Site!M118+180,Weather_Site!M118-180)</f>
        <v>356</v>
      </c>
      <c r="J120" s="32">
        <f t="shared" si="14"/>
        <v>3.9650235412135064</v>
      </c>
      <c r="K120" s="32">
        <f t="shared" si="15"/>
        <v>4.9784442455407314</v>
      </c>
      <c r="L120" s="32">
        <f t="shared" si="16"/>
        <v>4.7865118001496807</v>
      </c>
      <c r="M120" s="32">
        <f t="shared" si="17"/>
        <v>3.9650235412135064</v>
      </c>
      <c r="N120" s="31">
        <f t="shared" si="18"/>
        <v>2.3400550337491062</v>
      </c>
      <c r="O120" s="32">
        <f t="shared" si="19"/>
        <v>1</v>
      </c>
      <c r="P120" s="33">
        <f t="shared" si="20"/>
        <v>1330.74595548207</v>
      </c>
      <c r="Q120" s="33">
        <f t="shared" si="21"/>
        <v>537.11952587741609</v>
      </c>
      <c r="R120" s="32">
        <f t="shared" si="22"/>
        <v>5.8430133790244589</v>
      </c>
      <c r="S120" s="33">
        <f t="shared" si="23"/>
        <v>2562.9460211766363</v>
      </c>
      <c r="T120" s="5">
        <f t="shared" si="24"/>
        <v>15813.697770978597</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26"/>
        <v>0</v>
      </c>
      <c r="I121" s="27">
        <f>IF(Weather_Site!M119&lt;180,Weather_Site!M119+180,Weather_Site!M119-180)</f>
        <v>356</v>
      </c>
      <c r="J121" s="32">
        <f t="shared" si="14"/>
        <v>3.7111310088345277</v>
      </c>
      <c r="K121" s="32">
        <f t="shared" si="15"/>
        <v>4.6274533287619422</v>
      </c>
      <c r="L121" s="32">
        <f t="shared" si="16"/>
        <v>4.3541890003427852</v>
      </c>
      <c r="M121" s="32">
        <f t="shared" si="17"/>
        <v>3.7111310088345277</v>
      </c>
      <c r="N121" s="31">
        <f t="shared" si="18"/>
        <v>2.5833996731418991</v>
      </c>
      <c r="O121" s="32">
        <f t="shared" si="19"/>
        <v>1</v>
      </c>
      <c r="P121" s="33">
        <f t="shared" si="20"/>
        <v>1300.2639961584086</v>
      </c>
      <c r="Q121" s="33">
        <f t="shared" si="21"/>
        <v>555.5485806944107</v>
      </c>
      <c r="R121" s="32">
        <f t="shared" si="22"/>
        <v>5.7459373336535933</v>
      </c>
      <c r="S121" s="33">
        <f t="shared" si="23"/>
        <v>2571.5785024623801</v>
      </c>
      <c r="T121" s="5">
        <f t="shared" si="24"/>
        <v>15451.470487682422</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26"/>
        <v>0</v>
      </c>
      <c r="I122" s="27">
        <f>IF(Weather_Site!M120&lt;180,Weather_Site!M120+180,Weather_Site!M120-180)</f>
        <v>359</v>
      </c>
      <c r="J122" s="32">
        <f t="shared" si="14"/>
        <v>3.5511741773963763</v>
      </c>
      <c r="K122" s="32">
        <f t="shared" si="15"/>
        <v>4.402014066467304</v>
      </c>
      <c r="L122" s="32">
        <f t="shared" si="16"/>
        <v>4.0726355539631154</v>
      </c>
      <c r="M122" s="32">
        <f t="shared" si="17"/>
        <v>3.5511741773963763</v>
      </c>
      <c r="N122" s="31">
        <f t="shared" si="18"/>
        <v>2.7592903147650159</v>
      </c>
      <c r="O122" s="32">
        <f t="shared" si="19"/>
        <v>1</v>
      </c>
      <c r="P122" s="33">
        <f t="shared" si="20"/>
        <v>1479.2843229299037</v>
      </c>
      <c r="Q122" s="33">
        <f t="shared" si="21"/>
        <v>613.40042584808577</v>
      </c>
      <c r="R122" s="32">
        <f t="shared" si="22"/>
        <v>6.3075896244269121</v>
      </c>
      <c r="S122" s="33">
        <f t="shared" si="23"/>
        <v>2896.4270984257673</v>
      </c>
      <c r="T122" s="5">
        <f t="shared" si="24"/>
        <v>17578.828704150357</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26"/>
        <v>0</v>
      </c>
      <c r="I123" s="27">
        <f>IF(Weather_Site!M121&lt;180,Weather_Site!M121+180,Weather_Site!M121-180)</f>
        <v>357</v>
      </c>
      <c r="J123" s="32">
        <f t="shared" si="14"/>
        <v>3.409247256401168</v>
      </c>
      <c r="K123" s="32">
        <f t="shared" si="15"/>
        <v>4.2066095353217499</v>
      </c>
      <c r="L123" s="32">
        <f t="shared" si="16"/>
        <v>3.8276252751420605</v>
      </c>
      <c r="M123" s="32">
        <f t="shared" si="17"/>
        <v>3.409247256401168</v>
      </c>
      <c r="N123" s="31">
        <f t="shared" si="18"/>
        <v>2.9327769931792593</v>
      </c>
      <c r="O123" s="32">
        <f t="shared" si="19"/>
        <v>1</v>
      </c>
      <c r="P123" s="33">
        <f t="shared" si="20"/>
        <v>1572.2923410576473</v>
      </c>
      <c r="Q123" s="33">
        <f t="shared" si="21"/>
        <v>651.96715507147655</v>
      </c>
      <c r="R123" s="32">
        <f t="shared" si="22"/>
        <v>6.5918855563753569</v>
      </c>
      <c r="S123" s="33">
        <f t="shared" si="23"/>
        <v>3076.1518645900323</v>
      </c>
      <c r="T123" s="5">
        <f t="shared" si="24"/>
        <v>18684.073986235038</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26"/>
        <v>0</v>
      </c>
      <c r="I124" s="27">
        <f>IF(Weather_Site!M122&lt;180,Weather_Site!M122+180,Weather_Site!M122-180)</f>
        <v>353</v>
      </c>
      <c r="J124" s="32">
        <f t="shared" si="14"/>
        <v>3.4353712356746771</v>
      </c>
      <c r="K124" s="32">
        <f t="shared" si="15"/>
        <v>4.2552134448948342</v>
      </c>
      <c r="L124" s="32">
        <f t="shared" si="16"/>
        <v>3.8922150154840813</v>
      </c>
      <c r="M124" s="32">
        <f t="shared" si="17"/>
        <v>4.2552134448948342</v>
      </c>
      <c r="N124" s="31">
        <f t="shared" si="18"/>
        <v>2.1055525269719313</v>
      </c>
      <c r="O124" s="32">
        <f t="shared" si="19"/>
        <v>1</v>
      </c>
      <c r="P124" s="33">
        <f t="shared" si="20"/>
        <v>1265.5309216115638</v>
      </c>
      <c r="Q124" s="33">
        <f t="shared" si="21"/>
        <v>498.45653335412067</v>
      </c>
      <c r="R124" s="32">
        <f t="shared" si="22"/>
        <v>5.6345506861255101</v>
      </c>
      <c r="S124" s="33">
        <f t="shared" si="23"/>
        <v>2395.7466569197313</v>
      </c>
      <c r="T124" s="5">
        <f t="shared" si="24"/>
        <v>15038.725785150749</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26"/>
        <v>0</v>
      </c>
      <c r="I125" s="27">
        <f>IF(Weather_Site!M123&lt;180,Weather_Site!M123+180,Weather_Site!M123-180)</f>
        <v>356</v>
      </c>
      <c r="J125" s="32">
        <f t="shared" si="14"/>
        <v>3.4613915713725838</v>
      </c>
      <c r="K125" s="32">
        <f t="shared" si="15"/>
        <v>4.3010279899400148</v>
      </c>
      <c r="L125" s="32">
        <f t="shared" si="16"/>
        <v>3.9526276751876481</v>
      </c>
      <c r="M125" s="32">
        <f t="shared" si="17"/>
        <v>4.3010279899400148</v>
      </c>
      <c r="N125" s="31">
        <f t="shared" si="18"/>
        <v>2.0721107117626669</v>
      </c>
      <c r="O125" s="32">
        <f t="shared" si="19"/>
        <v>1</v>
      </c>
      <c r="P125" s="33">
        <f t="shared" si="20"/>
        <v>1110.8801690360287</v>
      </c>
      <c r="Q125" s="33">
        <f t="shared" si="21"/>
        <v>460.63786264108376</v>
      </c>
      <c r="R125" s="32">
        <f t="shared" si="22"/>
        <v>5.1278283543930172</v>
      </c>
      <c r="S125" s="33">
        <f t="shared" si="23"/>
        <v>2126.2812683773964</v>
      </c>
      <c r="T125" s="5">
        <f t="shared" si="24"/>
        <v>13200.959342044807</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26"/>
        <v>0</v>
      </c>
      <c r="I126" s="27">
        <f>IF(Weather_Site!M124&lt;180,Weather_Site!M124+180,Weather_Site!M124-180)</f>
        <v>350</v>
      </c>
      <c r="J126" s="32">
        <f t="shared" si="14"/>
        <v>3.7496776391907494</v>
      </c>
      <c r="K126" s="32">
        <f t="shared" si="15"/>
        <v>4.7167041962180525</v>
      </c>
      <c r="L126" s="32">
        <f t="shared" si="16"/>
        <v>4.4735436958635972</v>
      </c>
      <c r="M126" s="32">
        <f t="shared" si="17"/>
        <v>4.4735436958635972</v>
      </c>
      <c r="N126" s="31">
        <f t="shared" si="18"/>
        <v>1.9537960648720736</v>
      </c>
      <c r="O126" s="32">
        <f t="shared" si="19"/>
        <v>1</v>
      </c>
      <c r="P126" s="33">
        <f t="shared" si="20"/>
        <v>918.82414931877679</v>
      </c>
      <c r="Q126" s="33">
        <f t="shared" si="21"/>
        <v>405.91485096489254</v>
      </c>
      <c r="R126" s="32">
        <f t="shared" si="22"/>
        <v>4.4702633598367081</v>
      </c>
      <c r="S126" s="33">
        <f t="shared" si="23"/>
        <v>1741.2696452096397</v>
      </c>
      <c r="T126" s="5">
        <f t="shared" si="24"/>
        <v>10918.693641071466</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si="26"/>
        <v>0</v>
      </c>
      <c r="I127" s="27">
        <f>IF(Weather_Site!M125&lt;180,Weather_Site!M125+180,Weather_Site!M125-180)</f>
        <v>349</v>
      </c>
      <c r="J127" s="32">
        <f t="shared" si="14"/>
        <v>4.2071276924865595</v>
      </c>
      <c r="K127" s="32">
        <f t="shared" si="15"/>
        <v>5.3550626916432797</v>
      </c>
      <c r="L127" s="32">
        <f t="shared" si="16"/>
        <v>5.2543014358981592</v>
      </c>
      <c r="M127" s="32">
        <f t="shared" si="17"/>
        <v>5.2543014358981592</v>
      </c>
      <c r="N127" s="31">
        <f t="shared" si="18"/>
        <v>1.5361498971038565</v>
      </c>
      <c r="O127" s="32">
        <f t="shared" si="19"/>
        <v>1</v>
      </c>
      <c r="P127" s="33">
        <f t="shared" si="20"/>
        <v>567.53653543376083</v>
      </c>
      <c r="Q127" s="33">
        <f t="shared" si="21"/>
        <v>285.25273953521821</v>
      </c>
      <c r="R127" s="32">
        <f t="shared" si="22"/>
        <v>3.1553941714697973</v>
      </c>
      <c r="S127" s="33">
        <f t="shared" si="23"/>
        <v>875.18810582816923</v>
      </c>
      <c r="T127" s="5">
        <f t="shared" si="24"/>
        <v>6744.2258294045241</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26"/>
        <v>0</v>
      </c>
      <c r="I128" s="27">
        <f>IF(Weather_Site!M126&lt;180,Weather_Site!M126+180,Weather_Site!M126-180)</f>
        <v>352</v>
      </c>
      <c r="J128" s="32">
        <f t="shared" si="14"/>
        <v>4.8107824433256106</v>
      </c>
      <c r="K128" s="32">
        <f t="shared" si="15"/>
        <v>6.1531749140314078</v>
      </c>
      <c r="L128" s="32">
        <f t="shared" si="16"/>
        <v>6.2013109436633815</v>
      </c>
      <c r="M128" s="32">
        <f t="shared" si="17"/>
        <v>6.2013109436633815</v>
      </c>
      <c r="N128" s="31">
        <f t="shared" si="18"/>
        <v>1.1990592758152874</v>
      </c>
      <c r="O128" s="32">
        <f t="shared" si="19"/>
        <v>1</v>
      </c>
      <c r="P128" s="33">
        <f t="shared" si="20"/>
        <v>360.27766071512076</v>
      </c>
      <c r="Q128" s="33">
        <f t="shared" si="21"/>
        <v>204.79925867194984</v>
      </c>
      <c r="R128" s="32">
        <f t="shared" si="22"/>
        <v>2.2717727003651325</v>
      </c>
      <c r="S128" s="33">
        <f t="shared" si="23"/>
        <v>254.44477207144246</v>
      </c>
      <c r="T128" s="5">
        <f t="shared" si="24"/>
        <v>4281.2995348313516</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26"/>
        <v>0</v>
      </c>
      <c r="I129" s="27">
        <f>IF(Weather_Site!M127&lt;180,Weather_Site!M127+180,Weather_Site!M127-180)</f>
        <v>349</v>
      </c>
      <c r="J129" s="32">
        <f t="shared" si="14"/>
        <v>5.324083920447368</v>
      </c>
      <c r="K129" s="32">
        <f t="shared" si="15"/>
        <v>6.8167585773549959</v>
      </c>
      <c r="L129" s="32">
        <f t="shared" si="16"/>
        <v>6.974567018430939</v>
      </c>
      <c r="M129" s="32">
        <f t="shared" si="17"/>
        <v>6.974567018430939</v>
      </c>
      <c r="N129" s="31">
        <f t="shared" si="18"/>
        <v>1.0058777608506517</v>
      </c>
      <c r="O129" s="32">
        <f t="shared" si="19"/>
        <v>1</v>
      </c>
      <c r="P129" s="33">
        <f t="shared" si="20"/>
        <v>266.84430063585592</v>
      </c>
      <c r="Q129" s="33">
        <f t="shared" si="21"/>
        <v>164.25087779658722</v>
      </c>
      <c r="R129" s="32">
        <f t="shared" si="22"/>
        <v>1.8285235923398004</v>
      </c>
      <c r="S129" s="33">
        <f t="shared" si="23"/>
        <v>50</v>
      </c>
      <c r="T129" s="5">
        <f t="shared" si="24"/>
        <v>3170.9997725560875</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26"/>
        <v>0</v>
      </c>
      <c r="I130" s="27">
        <f>IF(Weather_Site!M128&lt;180,Weather_Site!M128+180,Weather_Site!M128-180)</f>
        <v>333</v>
      </c>
      <c r="J130" s="32">
        <f t="shared" si="14"/>
        <v>5.3970691326107216</v>
      </c>
      <c r="K130" s="32">
        <f t="shared" si="15"/>
        <v>6.9097583437787664</v>
      </c>
      <c r="L130" s="32">
        <f t="shared" si="16"/>
        <v>7.0820479101690177</v>
      </c>
      <c r="M130" s="32">
        <f t="shared" si="17"/>
        <v>7.0820479101690177</v>
      </c>
      <c r="N130" s="31">
        <f t="shared" si="18"/>
        <v>0.98314143797065634</v>
      </c>
      <c r="O130" s="32">
        <f t="shared" si="19"/>
        <v>1</v>
      </c>
      <c r="P130" s="33">
        <f t="shared" si="20"/>
        <v>225.66326664001764</v>
      </c>
      <c r="Q130" s="33">
        <f t="shared" si="21"/>
        <v>153.1115166426315</v>
      </c>
      <c r="R130" s="32">
        <f t="shared" si="22"/>
        <v>1.6198257298841392</v>
      </c>
      <c r="S130" s="33">
        <f t="shared" si="23"/>
        <v>159.24240270567952</v>
      </c>
      <c r="T130" s="5">
        <f t="shared" si="24"/>
        <v>2681.6318185722098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26"/>
        <v>0</v>
      </c>
      <c r="I131" s="27">
        <f>IF(Weather_Site!M129&lt;180,Weather_Site!M129+180,Weather_Site!M129-180)</f>
        <v>332</v>
      </c>
      <c r="J131" s="32">
        <f t="shared" si="14"/>
        <v>5.6631290708733877</v>
      </c>
      <c r="K131" s="32">
        <f t="shared" si="15"/>
        <v>7.2507308353915416</v>
      </c>
      <c r="L131" s="32">
        <f t="shared" si="16"/>
        <v>7.4746581973908555</v>
      </c>
      <c r="M131" s="32">
        <f t="shared" si="17"/>
        <v>7.4746581973908555</v>
      </c>
      <c r="N131" s="31">
        <f t="shared" si="18"/>
        <v>0.90695230207525501</v>
      </c>
      <c r="O131" s="32">
        <f t="shared" si="19"/>
        <v>1</v>
      </c>
      <c r="P131" s="33">
        <f t="shared" si="20"/>
        <v>272.50917478595306</v>
      </c>
      <c r="Q131" s="33">
        <f t="shared" si="21"/>
        <v>154.90740354728209</v>
      </c>
      <c r="R131" s="32">
        <f t="shared" si="22"/>
        <v>1.8565072079192435</v>
      </c>
      <c r="S131" s="33">
        <f t="shared" si="23"/>
        <v>50</v>
      </c>
      <c r="T131" s="5">
        <f t="shared" si="24"/>
        <v>3238.3173603730752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26"/>
        <v>0</v>
      </c>
      <c r="I132" s="27">
        <f>IF(Weather_Site!M130&lt;180,Weather_Site!M130+180,Weather_Site!M130-180)</f>
        <v>331</v>
      </c>
      <c r="J132" s="32">
        <f t="shared" si="14"/>
        <v>5.9595886531584172</v>
      </c>
      <c r="K132" s="32">
        <f t="shared" si="15"/>
        <v>7.6256003508804584</v>
      </c>
      <c r="L132" s="32">
        <f t="shared" si="16"/>
        <v>7.903098042057743</v>
      </c>
      <c r="M132" s="32">
        <f t="shared" si="17"/>
        <v>7.903098042057743</v>
      </c>
      <c r="N132" s="31">
        <f t="shared" si="18"/>
        <v>0.8344425280109099</v>
      </c>
      <c r="O132" s="32">
        <f t="shared" si="19"/>
        <v>1</v>
      </c>
      <c r="P132" s="33">
        <f t="shared" si="20"/>
        <v>279.67837562733916</v>
      </c>
      <c r="Q132" s="33">
        <f t="shared" si="21"/>
        <v>148.75314036877563</v>
      </c>
      <c r="R132" s="32">
        <f t="shared" si="22"/>
        <v>1.8916921436339074</v>
      </c>
      <c r="S132" s="33">
        <f t="shared" si="23"/>
        <v>50</v>
      </c>
      <c r="T132" s="5">
        <f t="shared" si="24"/>
        <v>3323.5113637048803</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26"/>
        <v>0</v>
      </c>
      <c r="I133" s="27">
        <f>IF(Weather_Site!M131&lt;180,Weather_Site!M131+180,Weather_Site!M131-180)</f>
        <v>331</v>
      </c>
      <c r="J133" s="32">
        <f t="shared" si="14"/>
        <v>6.3479675519129648</v>
      </c>
      <c r="K133" s="32">
        <f t="shared" si="15"/>
        <v>8.1120615708839328</v>
      </c>
      <c r="L133" s="32">
        <f t="shared" si="16"/>
        <v>8.4555164051751177</v>
      </c>
      <c r="M133" s="32">
        <f t="shared" si="17"/>
        <v>8.4555164051751177</v>
      </c>
      <c r="N133" s="31">
        <f t="shared" si="18"/>
        <v>0.75427374979607154</v>
      </c>
      <c r="O133" s="32">
        <f t="shared" si="19"/>
        <v>1</v>
      </c>
      <c r="P133" s="33">
        <f t="shared" si="20"/>
        <v>200.09752584857225</v>
      </c>
      <c r="Q133" s="33">
        <f t="shared" si="21"/>
        <v>123.16618412773798</v>
      </c>
      <c r="R133" s="32">
        <f t="shared" si="22"/>
        <v>1.4849568921159397</v>
      </c>
      <c r="S133" s="33">
        <f t="shared" si="23"/>
        <v>244.05735973858646</v>
      </c>
      <c r="T133" s="5">
        <f t="shared" si="24"/>
        <v>2377.8255988338669</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26"/>
        <v>0</v>
      </c>
      <c r="I134" s="27">
        <f>IF(Weather_Site!M132&lt;180,Weather_Site!M132+180,Weather_Site!M132-180)</f>
        <v>329</v>
      </c>
      <c r="J134" s="32">
        <f t="shared" si="14"/>
        <v>6.6402093165237428</v>
      </c>
      <c r="K134" s="32">
        <f t="shared" si="15"/>
        <v>8.4763831271349641</v>
      </c>
      <c r="L134" s="32">
        <f t="shared" si="16"/>
        <v>8.8676349740593778</v>
      </c>
      <c r="M134" s="32">
        <f t="shared" si="17"/>
        <v>8.8676349740593778</v>
      </c>
      <c r="N134" s="31">
        <f t="shared" si="18"/>
        <v>0.7024749230203694</v>
      </c>
      <c r="O134" s="32">
        <f t="shared" si="19"/>
        <v>1</v>
      </c>
      <c r="P134" s="33">
        <f t="shared" si="20"/>
        <v>161.24107858650029</v>
      </c>
      <c r="Q134" s="33">
        <f t="shared" si="21"/>
        <v>109.40135031748586</v>
      </c>
      <c r="R134" s="32">
        <f t="shared" si="22"/>
        <v>1.2703430354443055</v>
      </c>
      <c r="S134" s="33">
        <f t="shared" si="23"/>
        <v>304.61215179217697</v>
      </c>
      <c r="T134" s="5">
        <f t="shared" si="24"/>
        <v>1916.0814838695783</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26"/>
        <v>0</v>
      </c>
      <c r="I135" s="27">
        <f>IF(Weather_Site!M133&lt;180,Weather_Site!M133+180,Weather_Site!M133-180)</f>
        <v>325</v>
      </c>
      <c r="J135" s="32">
        <f t="shared" si="14"/>
        <v>6.7370218116409948</v>
      </c>
      <c r="K135" s="32">
        <f t="shared" si="15"/>
        <v>8.5944388042313573</v>
      </c>
      <c r="L135" s="32">
        <f t="shared" si="16"/>
        <v>8.9983673726361566</v>
      </c>
      <c r="M135" s="32">
        <f t="shared" si="17"/>
        <v>8.9983673726361566</v>
      </c>
      <c r="N135" s="31">
        <f t="shared" si="18"/>
        <v>0.68727213549588095</v>
      </c>
      <c r="O135" s="32">
        <f t="shared" si="19"/>
        <v>1</v>
      </c>
      <c r="P135" s="33">
        <f t="shared" si="20"/>
        <v>182.32300134343976</v>
      </c>
      <c r="Q135" s="33">
        <f t="shared" si="21"/>
        <v>112.22541737563492</v>
      </c>
      <c r="R135" s="32">
        <f t="shared" si="22"/>
        <v>1.3883675689204686</v>
      </c>
      <c r="S135" s="33">
        <f t="shared" si="23"/>
        <v>281.36734679736765</v>
      </c>
      <c r="T135" s="5">
        <f t="shared" si="24"/>
        <v>2166.604999297876</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26"/>
        <v>0</v>
      </c>
      <c r="I136" s="27">
        <f>IF(Weather_Site!M134&lt;180,Weather_Site!M134+180,Weather_Site!M134-180)</f>
        <v>322</v>
      </c>
      <c r="J136" s="32">
        <f t="shared" si="14"/>
        <v>7.1537104224044246</v>
      </c>
      <c r="K136" s="32">
        <f t="shared" si="15"/>
        <v>9.1138280874221689</v>
      </c>
      <c r="L136" s="32">
        <f t="shared" si="16"/>
        <v>9.5852814353322771</v>
      </c>
      <c r="M136" s="32">
        <f t="shared" si="17"/>
        <v>9.1138280874221689</v>
      </c>
      <c r="N136" s="31">
        <f t="shared" si="18"/>
        <v>0.67429626399666664</v>
      </c>
      <c r="O136" s="32">
        <f t="shared" si="19"/>
        <v>1</v>
      </c>
      <c r="P136" s="33">
        <f t="shared" si="20"/>
        <v>202.60372904123884</v>
      </c>
      <c r="Q136" s="33">
        <f t="shared" si="21"/>
        <v>115.16976497920527</v>
      </c>
      <c r="R136" s="32">
        <f t="shared" si="22"/>
        <v>1.4983807292422595</v>
      </c>
      <c r="S136" s="33">
        <f t="shared" si="23"/>
        <v>248.43053658211511</v>
      </c>
      <c r="T136" s="5">
        <f t="shared" si="24"/>
        <v>2407.6076467733883</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26"/>
        <v>0</v>
      </c>
      <c r="I137" s="27">
        <f>IF(Weather_Site!M135&lt;180,Weather_Site!M135+180,Weather_Site!M135-180)</f>
        <v>321</v>
      </c>
      <c r="J137" s="32">
        <f t="shared" si="14"/>
        <v>6.9004813553422277</v>
      </c>
      <c r="K137" s="32">
        <f t="shared" si="15"/>
        <v>8.8022433107698177</v>
      </c>
      <c r="L137" s="32">
        <f t="shared" si="16"/>
        <v>9.2377406307667993</v>
      </c>
      <c r="M137" s="32">
        <f t="shared" si="17"/>
        <v>8.8022433107698177</v>
      </c>
      <c r="N137" s="31">
        <f t="shared" si="18"/>
        <v>0.71029116202746323</v>
      </c>
      <c r="O137" s="32">
        <f t="shared" si="19"/>
        <v>1</v>
      </c>
      <c r="P137" s="33">
        <f t="shared" si="20"/>
        <v>262.41982374655754</v>
      </c>
      <c r="Q137" s="33">
        <f t="shared" si="21"/>
        <v>131.89630791759194</v>
      </c>
      <c r="R137" s="32">
        <f t="shared" si="22"/>
        <v>1.8065527787370828</v>
      </c>
      <c r="S137" s="33">
        <f t="shared" si="23"/>
        <v>109.56116837631043</v>
      </c>
      <c r="T137" s="5">
        <f t="shared" si="24"/>
        <v>3118.4222388549251</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26"/>
        <v>0</v>
      </c>
      <c r="I138" s="27">
        <f>IF(Weather_Site!M136&lt;180,Weather_Site!M136+180,Weather_Site!M136-180)</f>
        <v>318</v>
      </c>
      <c r="J138" s="32">
        <f t="shared" si="14"/>
        <v>6.2092287180839385</v>
      </c>
      <c r="K138" s="32">
        <f t="shared" si="15"/>
        <v>7.9374484929006375</v>
      </c>
      <c r="L138" s="32">
        <f t="shared" si="16"/>
        <v>8.2613547679483474</v>
      </c>
      <c r="M138" s="32">
        <f t="shared" si="17"/>
        <v>7.9374484929006375</v>
      </c>
      <c r="N138" s="31">
        <f t="shared" si="18"/>
        <v>0.82904961536375832</v>
      </c>
      <c r="O138" s="32">
        <f t="shared" si="19"/>
        <v>1</v>
      </c>
      <c r="P138" s="33">
        <f t="shared" si="20"/>
        <v>444.46214752256537</v>
      </c>
      <c r="Q138" s="33">
        <f t="shared" si="21"/>
        <v>184.30079082005869</v>
      </c>
      <c r="R138" s="32">
        <f t="shared" si="22"/>
        <v>2.6442385345334705</v>
      </c>
      <c r="S138" s="33">
        <f t="shared" si="23"/>
        <v>378.40654053241542</v>
      </c>
      <c r="T138" s="5">
        <f t="shared" si="24"/>
        <v>5281.6918530598186</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26"/>
        <v>0</v>
      </c>
      <c r="I139" s="27">
        <f>IF(Weather_Site!M137&lt;180,Weather_Site!M137+180,Weather_Site!M137-180)</f>
        <v>316</v>
      </c>
      <c r="J139" s="32">
        <f t="shared" si="14"/>
        <v>5.665529741995849</v>
      </c>
      <c r="K139" s="32">
        <f t="shared" si="15"/>
        <v>7.2447463511914298</v>
      </c>
      <c r="L139" s="32">
        <f t="shared" si="16"/>
        <v>7.468686333963384</v>
      </c>
      <c r="M139" s="32">
        <f t="shared" si="17"/>
        <v>7.2447463511914298</v>
      </c>
      <c r="N139" s="31">
        <f t="shared" si="18"/>
        <v>0.95031773983787959</v>
      </c>
      <c r="O139" s="32">
        <f t="shared" si="19"/>
        <v>1</v>
      </c>
      <c r="P139" s="33">
        <f t="shared" si="20"/>
        <v>285.53905478282178</v>
      </c>
      <c r="Q139" s="33">
        <f t="shared" si="21"/>
        <v>162.31421794328551</v>
      </c>
      <c r="R139" s="32">
        <f t="shared" si="22"/>
        <v>1.9202698048100824</v>
      </c>
      <c r="S139" s="33">
        <f t="shared" si="23"/>
        <v>50</v>
      </c>
      <c r="T139" s="5">
        <f t="shared" si="24"/>
        <v>3393.1557676691982</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26"/>
        <v>0</v>
      </c>
      <c r="I140" s="27">
        <f>IF(Weather_Site!M138&lt;180,Weather_Site!M138+180,Weather_Site!M138-180)</f>
        <v>318</v>
      </c>
      <c r="J140" s="32">
        <f t="shared" si="14"/>
        <v>4.9592512608636898</v>
      </c>
      <c r="K140" s="32">
        <f t="shared" si="15"/>
        <v>6.3320810777628109</v>
      </c>
      <c r="L140" s="32">
        <f t="shared" si="16"/>
        <v>6.4083684344509413</v>
      </c>
      <c r="M140" s="32">
        <f t="shared" si="17"/>
        <v>6.3320810777628109</v>
      </c>
      <c r="N140" s="31">
        <f t="shared" si="18"/>
        <v>1.1622285228407265</v>
      </c>
      <c r="O140" s="32">
        <f t="shared" si="19"/>
        <v>1</v>
      </c>
      <c r="P140" s="33">
        <f t="shared" si="20"/>
        <v>507.86132414351613</v>
      </c>
      <c r="Q140" s="33">
        <f t="shared" si="21"/>
        <v>232.95315246877479</v>
      </c>
      <c r="R140" s="32">
        <f t="shared" si="22"/>
        <v>2.9118555067659515</v>
      </c>
      <c r="S140" s="33">
        <f t="shared" si="23"/>
        <v>636.49804584393132</v>
      </c>
      <c r="T140" s="5">
        <f t="shared" si="24"/>
        <v>6035.0854019054495</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26"/>
        <v>0</v>
      </c>
      <c r="I141" s="27">
        <f>IF(Weather_Site!M139&lt;180,Weather_Site!M139+180,Weather_Site!M139-180)</f>
        <v>316</v>
      </c>
      <c r="J141" s="32">
        <f t="shared" si="14"/>
        <v>4.5560766010980718</v>
      </c>
      <c r="K141" s="32">
        <f t="shared" si="15"/>
        <v>5.7957877307593293</v>
      </c>
      <c r="L141" s="32">
        <f t="shared" si="16"/>
        <v>5.7745429203043042</v>
      </c>
      <c r="M141" s="32">
        <f t="shared" si="17"/>
        <v>5.7957877307593293</v>
      </c>
      <c r="N141" s="31">
        <f t="shared" si="18"/>
        <v>1.3266316472530093</v>
      </c>
      <c r="O141" s="32">
        <f t="shared" si="19"/>
        <v>1</v>
      </c>
      <c r="P141" s="33">
        <f t="shared" si="20"/>
        <v>444.64438436998245</v>
      </c>
      <c r="Q141" s="33">
        <f t="shared" si="21"/>
        <v>236.4939669504798</v>
      </c>
      <c r="R141" s="32">
        <f t="shared" si="22"/>
        <v>2.6450223533442627</v>
      </c>
      <c r="S141" s="33">
        <f t="shared" si="23"/>
        <v>513.35338811338124</v>
      </c>
      <c r="T141" s="5">
        <f t="shared" si="24"/>
        <v>5283.857434263291</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26"/>
        <v>0</v>
      </c>
      <c r="I142" s="27">
        <f>IF(Weather_Site!M140&lt;180,Weather_Site!M140+180,Weather_Site!M140-180)</f>
        <v>321</v>
      </c>
      <c r="J142" s="32">
        <f t="shared" si="14"/>
        <v>4.1675705396456966</v>
      </c>
      <c r="K142" s="32">
        <f t="shared" si="15"/>
        <v>5.2654206036827853</v>
      </c>
      <c r="L142" s="32">
        <f t="shared" si="16"/>
        <v>5.1372596277664293</v>
      </c>
      <c r="M142" s="32">
        <f t="shared" si="17"/>
        <v>5.2654206036827853</v>
      </c>
      <c r="N142" s="31">
        <f t="shared" si="18"/>
        <v>1.5313027424348613</v>
      </c>
      <c r="O142" s="32">
        <f t="shared" si="19"/>
        <v>1</v>
      </c>
      <c r="P142" s="33">
        <f t="shared" si="20"/>
        <v>513.24357187158171</v>
      </c>
      <c r="Q142" s="33">
        <f t="shared" si="21"/>
        <v>272.97996464236519</v>
      </c>
      <c r="R142" s="32">
        <f t="shared" si="22"/>
        <v>2.9341342965166195</v>
      </c>
      <c r="S142" s="33">
        <f t="shared" si="23"/>
        <v>736.66574175158576</v>
      </c>
      <c r="T142" s="5">
        <f t="shared" si="24"/>
        <v>6099.0444457406284</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26"/>
        <v>0</v>
      </c>
      <c r="I143" s="27">
        <f>IF(Weather_Site!M141&lt;180,Weather_Site!M141+180,Weather_Site!M141-180)</f>
        <v>325</v>
      </c>
      <c r="J143" s="32">
        <f t="shared" ref="J143:J179" si="27">((1.6779*D143^0.09655)*(196.1*D143^0.3204)+(18.944*317433^(1/D143))*E143^(1.5002*0.0196^(1/D143)))/((196.1*D143^0.3204)+E143^(1.5002*0.0196^(1/D143)))</f>
        <v>3.8612670230247188</v>
      </c>
      <c r="K143" s="32">
        <f t="shared" ref="K143:K179" si="28">((2.143+0.0322*D143-0.0006135*D143^2)*(663.6+17.8*D143)+((193-1.366*D143)*E143^(0.9367+0.00487*D143)))/((663.6+17.8*D143)+E143^(0.9367+0.00487*D143))</f>
        <v>4.832995659415106</v>
      </c>
      <c r="L143" s="32">
        <f t="shared" ref="L143:L179" si="29">(2.943-0.0415*D143)+(0.196*1.2256^(1/D143))*E143</f>
        <v>4.6076716201784871</v>
      </c>
      <c r="M143" s="32">
        <f t="shared" ref="M143:M179" si="30">IF(AND(OR(MONTH(B143)&gt;10,MONTH(B143)&lt;3),AND(HOUR(C143)&gt;=13,HOUR(C143)&lt;=17)),J143,IF(OR(HOUR(C143)&lt;6,HOUR(C143)&gt;=20),L143,K143))</f>
        <v>3.8612670230247188</v>
      </c>
      <c r="N143" s="31">
        <f t="shared" ref="N143:N179" si="31">M143^-1.495/0.0545</f>
        <v>2.4346828296763516</v>
      </c>
      <c r="O143" s="32">
        <f t="shared" ref="O143:O179" si="32">EXP(0.069*H143)</f>
        <v>1</v>
      </c>
      <c r="P143" s="33">
        <f t="shared" ref="P143:P179" si="33">(30+3.102*(IF(G143&lt;5,0,G143-5))^0.904*EXP(0.279*$D$6+0.611*$D$7+0.013*$C$8))*N143*O143</f>
        <v>816.02760659240141</v>
      </c>
      <c r="Q143" s="33">
        <f t="shared" ref="Q143:Q179" si="34">(30+3.102*(IF((0.2*G143+4)&lt;5,0,(0.2*G143+6)-5))^0.904*EXP(0.279*$D$6+0.611*$D$7+0.013*$C$8))*N143</f>
        <v>434.02236170728713</v>
      </c>
      <c r="R143" s="32">
        <f t="shared" ref="R143:R179" si="35">0.0193*P143^0.723*EXP(0.64*$C$10)</f>
        <v>4.1027843599744713</v>
      </c>
      <c r="S143" s="33">
        <f t="shared" ref="S143:S179" si="36">MAX(50,ABS(176.969*(ATAN($D$6)*(P143/G143^0.25)^0.5)+1568800*($D$6^-1*(P143/G143^0.25)^-1.5)-3015.09))</f>
        <v>1625.9234899989615</v>
      </c>
      <c r="T143" s="5">
        <f t="shared" ref="T143:T179" si="37">18600*P143/3600*F$11/10</f>
        <v>9697.1280583397056</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26"/>
        <v>0</v>
      </c>
      <c r="I144" s="27">
        <f>IF(Weather_Site!M142&lt;180,Weather_Site!M142+180,Weather_Site!M142-180)</f>
        <v>330</v>
      </c>
      <c r="J144" s="32">
        <f t="shared" si="27"/>
        <v>3.6185965549074179</v>
      </c>
      <c r="K144" s="32">
        <f t="shared" si="28"/>
        <v>4.475946903654334</v>
      </c>
      <c r="L144" s="32">
        <f t="shared" si="29"/>
        <v>4.1615732498493854</v>
      </c>
      <c r="M144" s="32">
        <f t="shared" si="30"/>
        <v>3.6185965549074179</v>
      </c>
      <c r="N144" s="31">
        <f t="shared" si="31"/>
        <v>2.6827855005407057</v>
      </c>
      <c r="O144" s="32">
        <f t="shared" si="32"/>
        <v>1</v>
      </c>
      <c r="P144" s="33">
        <f t="shared" si="33"/>
        <v>899.18366545430035</v>
      </c>
      <c r="Q144" s="33">
        <f t="shared" si="34"/>
        <v>478.25075394051578</v>
      </c>
      <c r="R144" s="32">
        <f t="shared" si="35"/>
        <v>4.4009707626643131</v>
      </c>
      <c r="S144" s="33">
        <f t="shared" si="36"/>
        <v>1845.7863214235758</v>
      </c>
      <c r="T144" s="5">
        <f t="shared" si="37"/>
        <v>10685.299224481936</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26"/>
        <v>0</v>
      </c>
      <c r="I145" s="27">
        <f>IF(Weather_Site!M143&lt;180,Weather_Site!M143+180,Weather_Site!M143-180)</f>
        <v>334</v>
      </c>
      <c r="J145" s="32">
        <f t="shared" si="27"/>
        <v>3.4600951836474994</v>
      </c>
      <c r="K145" s="32">
        <f t="shared" si="28"/>
        <v>4.2377595468243978</v>
      </c>
      <c r="L145" s="32">
        <f t="shared" si="29"/>
        <v>3.8591679301350728</v>
      </c>
      <c r="M145" s="32">
        <f t="shared" si="30"/>
        <v>3.4600951836474994</v>
      </c>
      <c r="N145" s="31">
        <f t="shared" si="31"/>
        <v>2.8685793584981534</v>
      </c>
      <c r="O145" s="32">
        <f t="shared" si="32"/>
        <v>1</v>
      </c>
      <c r="P145" s="33">
        <f t="shared" si="33"/>
        <v>760.99112887191529</v>
      </c>
      <c r="Q145" s="33">
        <f t="shared" si="34"/>
        <v>468.41345539246839</v>
      </c>
      <c r="R145" s="32">
        <f t="shared" si="35"/>
        <v>3.9007986197186302</v>
      </c>
      <c r="S145" s="33">
        <f t="shared" si="36"/>
        <v>1564.5993582399833</v>
      </c>
      <c r="T145" s="5">
        <f t="shared" si="37"/>
        <v>9043.1112480945922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26"/>
        <v>0</v>
      </c>
      <c r="I146" s="27">
        <f>IF(Weather_Site!M144&lt;180,Weather_Site!M144+180,Weather_Site!M144-180)</f>
        <v>339</v>
      </c>
      <c r="J146" s="32">
        <f t="shared" si="27"/>
        <v>3.3769143910443074</v>
      </c>
      <c r="K146" s="32">
        <f t="shared" si="28"/>
        <v>4.1077917736343235</v>
      </c>
      <c r="L146" s="32">
        <f t="shared" si="29"/>
        <v>3.6918768223869431</v>
      </c>
      <c r="M146" s="32">
        <f t="shared" si="30"/>
        <v>3.3769143910443074</v>
      </c>
      <c r="N146" s="31">
        <f t="shared" si="31"/>
        <v>2.9748565029540504</v>
      </c>
      <c r="O146" s="32">
        <f t="shared" si="32"/>
        <v>1</v>
      </c>
      <c r="P146" s="33">
        <f t="shared" si="33"/>
        <v>893.84600366709026</v>
      </c>
      <c r="Q146" s="33">
        <f t="shared" si="34"/>
        <v>508.10532785893076</v>
      </c>
      <c r="R146" s="32">
        <f t="shared" si="35"/>
        <v>4.3820670443230316</v>
      </c>
      <c r="S146" s="33">
        <f t="shared" si="36"/>
        <v>1878.6542973425594</v>
      </c>
      <c r="T146" s="5">
        <f t="shared" si="37"/>
        <v>10621.870010243922</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ref="H147:H179" si="38">C$4</f>
        <v>0</v>
      </c>
      <c r="I147" s="27">
        <f>IF(Weather_Site!M145&lt;180,Weather_Site!M145+180,Weather_Site!M145-180)</f>
        <v>344</v>
      </c>
      <c r="J147" s="32">
        <f t="shared" si="27"/>
        <v>3.307555326173254</v>
      </c>
      <c r="K147" s="32">
        <f t="shared" si="28"/>
        <v>4.0003616223381613</v>
      </c>
      <c r="L147" s="32">
        <f t="shared" si="29"/>
        <v>3.5526983794608746</v>
      </c>
      <c r="M147" s="32">
        <f t="shared" si="30"/>
        <v>3.307555326173254</v>
      </c>
      <c r="N147" s="31">
        <f t="shared" si="31"/>
        <v>3.0686005399819387</v>
      </c>
      <c r="O147" s="32">
        <f t="shared" si="32"/>
        <v>1</v>
      </c>
      <c r="P147" s="33">
        <f t="shared" si="33"/>
        <v>814.05375174992832</v>
      </c>
      <c r="Q147" s="33">
        <f t="shared" si="34"/>
        <v>501.07513250205926</v>
      </c>
      <c r="R147" s="32">
        <f t="shared" si="35"/>
        <v>4.0956068638276353</v>
      </c>
      <c r="S147" s="33">
        <f t="shared" si="36"/>
        <v>1713.5903577099307</v>
      </c>
      <c r="T147" s="5">
        <f t="shared" si="37"/>
        <v>9673.6720832949813</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si="38"/>
        <v>0</v>
      </c>
      <c r="I148" s="27">
        <f>IF(Weather_Site!M146&lt;180,Weather_Site!M146+180,Weather_Site!M146-180)</f>
        <v>337</v>
      </c>
      <c r="J148" s="32">
        <f t="shared" si="27"/>
        <v>3.3659133763898241</v>
      </c>
      <c r="K148" s="32">
        <f t="shared" si="28"/>
        <v>4.0953543154970253</v>
      </c>
      <c r="L148" s="32">
        <f t="shared" si="29"/>
        <v>3.6763509259463971</v>
      </c>
      <c r="M148" s="32">
        <f t="shared" si="30"/>
        <v>4.0953543154970253</v>
      </c>
      <c r="N148" s="31">
        <f t="shared" si="31"/>
        <v>2.2296039911556296</v>
      </c>
      <c r="O148" s="32">
        <f t="shared" si="32"/>
        <v>1</v>
      </c>
      <c r="P148" s="33">
        <f t="shared" si="33"/>
        <v>669.92226861217341</v>
      </c>
      <c r="Q148" s="33">
        <f t="shared" si="34"/>
        <v>380.81623963937801</v>
      </c>
      <c r="R148" s="32">
        <f t="shared" si="35"/>
        <v>3.5573920914426647</v>
      </c>
      <c r="S148" s="33">
        <f t="shared" si="36"/>
        <v>1255.117680592848</v>
      </c>
      <c r="T148" s="5">
        <f t="shared" si="37"/>
        <v>7960.9096253413272</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38"/>
        <v>0</v>
      </c>
      <c r="I149" s="27">
        <f>IF(Weather_Site!M147&lt;180,Weather_Site!M147+180,Weather_Site!M147-180)</f>
        <v>334</v>
      </c>
      <c r="J149" s="32">
        <f t="shared" si="27"/>
        <v>3.3905900409529459</v>
      </c>
      <c r="K149" s="32">
        <f t="shared" si="28"/>
        <v>4.1413247073069153</v>
      </c>
      <c r="L149" s="32">
        <f t="shared" si="29"/>
        <v>3.7367034845285731</v>
      </c>
      <c r="M149" s="32">
        <f t="shared" si="30"/>
        <v>4.1413247073069153</v>
      </c>
      <c r="N149" s="31">
        <f t="shared" si="31"/>
        <v>2.1927053136058214</v>
      </c>
      <c r="O149" s="32">
        <f t="shared" si="32"/>
        <v>1</v>
      </c>
      <c r="P149" s="33">
        <f t="shared" si="33"/>
        <v>581.69187020782056</v>
      </c>
      <c r="Q149" s="33">
        <f t="shared" si="34"/>
        <v>358.04924467603502</v>
      </c>
      <c r="R149" s="32">
        <f t="shared" si="35"/>
        <v>3.2121004517212617</v>
      </c>
      <c r="S149" s="33">
        <f t="shared" si="36"/>
        <v>1026.9797583971431</v>
      </c>
      <c r="T149" s="5">
        <f t="shared" si="37"/>
        <v>6912.4383909696016</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38"/>
        <v>0</v>
      </c>
      <c r="I150" s="27">
        <f>IF(Weather_Site!M148&lt;180,Weather_Site!M148+180,Weather_Site!M148-180)</f>
        <v>332</v>
      </c>
      <c r="J150" s="32">
        <f t="shared" si="27"/>
        <v>3.5253297634169813</v>
      </c>
      <c r="K150" s="32">
        <f t="shared" si="28"/>
        <v>4.3584436514860192</v>
      </c>
      <c r="L150" s="32">
        <f t="shared" si="29"/>
        <v>4.016420528908494</v>
      </c>
      <c r="M150" s="32">
        <f t="shared" si="30"/>
        <v>4.016420528908494</v>
      </c>
      <c r="N150" s="31">
        <f t="shared" si="31"/>
        <v>2.2954293286931748</v>
      </c>
      <c r="O150" s="32">
        <f t="shared" si="32"/>
        <v>1</v>
      </c>
      <c r="P150" s="33">
        <f t="shared" si="33"/>
        <v>443.20759253114966</v>
      </c>
      <c r="Q150" s="33">
        <f t="shared" si="34"/>
        <v>340.03206221683104</v>
      </c>
      <c r="R150" s="32">
        <f t="shared" si="35"/>
        <v>2.6388401501871304</v>
      </c>
      <c r="S150" s="33">
        <f t="shared" si="36"/>
        <v>648.55528776028132</v>
      </c>
      <c r="T150" s="5">
        <f t="shared" si="37"/>
        <v>5266.7835579118282</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38"/>
        <v>0</v>
      </c>
      <c r="I151" s="27">
        <f>IF(Weather_Site!M149&lt;180,Weather_Site!M149+180,Weather_Site!M149-180)</f>
        <v>330</v>
      </c>
      <c r="J151" s="32">
        <f t="shared" si="27"/>
        <v>4.0022996019033439</v>
      </c>
      <c r="K151" s="32">
        <f t="shared" si="28"/>
        <v>5.0520524220504228</v>
      </c>
      <c r="L151" s="32">
        <f t="shared" si="29"/>
        <v>4.8807711325336811</v>
      </c>
      <c r="M151" s="32">
        <f t="shared" si="30"/>
        <v>4.8807711325336811</v>
      </c>
      <c r="N151" s="31">
        <f t="shared" si="31"/>
        <v>1.7151941032134543</v>
      </c>
      <c r="O151" s="32">
        <f t="shared" si="32"/>
        <v>1</v>
      </c>
      <c r="P151" s="33">
        <f t="shared" si="33"/>
        <v>267.11921635770631</v>
      </c>
      <c r="Q151" s="33">
        <f t="shared" si="34"/>
        <v>240.94950157025335</v>
      </c>
      <c r="R151" s="32">
        <f t="shared" si="35"/>
        <v>1.8298854087541365</v>
      </c>
      <c r="S151" s="33">
        <f t="shared" si="36"/>
        <v>50</v>
      </c>
      <c r="T151" s="5">
        <f t="shared" si="37"/>
        <v>3174.2666877174097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38"/>
        <v>0</v>
      </c>
      <c r="I152" s="27">
        <f>IF(Weather_Site!M150&lt;180,Weather_Site!M150+180,Weather_Site!M150-180)</f>
        <v>328</v>
      </c>
      <c r="J152" s="32">
        <f t="shared" si="27"/>
        <v>4.4289490108318947</v>
      </c>
      <c r="K152" s="32">
        <f t="shared" si="28"/>
        <v>5.6386738010185127</v>
      </c>
      <c r="L152" s="32">
        <f t="shared" si="29"/>
        <v>5.5898882969731236</v>
      </c>
      <c r="M152" s="32">
        <f t="shared" si="30"/>
        <v>5.5898882969731236</v>
      </c>
      <c r="N152" s="31">
        <f t="shared" si="31"/>
        <v>1.4003474961563498</v>
      </c>
      <c r="O152" s="32">
        <f t="shared" si="32"/>
        <v>1</v>
      </c>
      <c r="P152" s="33">
        <f t="shared" si="33"/>
        <v>270.38281454381445</v>
      </c>
      <c r="Q152" s="33">
        <f t="shared" si="34"/>
        <v>207.43964581532416</v>
      </c>
      <c r="R152" s="32">
        <f t="shared" si="35"/>
        <v>1.846022380050824</v>
      </c>
      <c r="S152" s="33">
        <f t="shared" si="36"/>
        <v>50</v>
      </c>
      <c r="T152" s="5">
        <f t="shared" si="37"/>
        <v>3213.049112828995</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38"/>
        <v>0</v>
      </c>
      <c r="I153" s="27">
        <f>IF(Weather_Site!M151&lt;180,Weather_Site!M151+180,Weather_Site!M151-180)</f>
        <v>325</v>
      </c>
      <c r="J153" s="32">
        <f t="shared" si="27"/>
        <v>4.801904404754584</v>
      </c>
      <c r="K153" s="32">
        <f t="shared" si="28"/>
        <v>6.1360934001134062</v>
      </c>
      <c r="L153" s="32">
        <f t="shared" si="29"/>
        <v>6.1799291244487611</v>
      </c>
      <c r="M153" s="32">
        <f t="shared" si="30"/>
        <v>6.1799291244487611</v>
      </c>
      <c r="N153" s="31">
        <f t="shared" si="31"/>
        <v>1.2052667443190559</v>
      </c>
      <c r="O153" s="32">
        <f t="shared" si="32"/>
        <v>1</v>
      </c>
      <c r="P153" s="33">
        <f t="shared" si="33"/>
        <v>232.71610475223156</v>
      </c>
      <c r="Q153" s="33">
        <f t="shared" si="34"/>
        <v>178.54147434175073</v>
      </c>
      <c r="R153" s="32">
        <f t="shared" si="35"/>
        <v>1.6562717679371097</v>
      </c>
      <c r="S153" s="33">
        <f t="shared" si="36"/>
        <v>117.14254330925451</v>
      </c>
      <c r="T153" s="5">
        <f t="shared" si="37"/>
        <v>2765.4430448056855</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38"/>
        <v>0</v>
      </c>
      <c r="I154" s="27">
        <f>IF(Weather_Site!M152&lt;180,Weather_Site!M152+180,Weather_Site!M152-180)</f>
        <v>311</v>
      </c>
      <c r="J154" s="32">
        <f t="shared" si="27"/>
        <v>5.0030361191003827</v>
      </c>
      <c r="K154" s="32">
        <f t="shared" si="28"/>
        <v>6.3976650298912725</v>
      </c>
      <c r="L154" s="32">
        <f t="shared" si="29"/>
        <v>6.4864258977692764</v>
      </c>
      <c r="M154" s="32">
        <f t="shared" si="30"/>
        <v>6.4864258977692764</v>
      </c>
      <c r="N154" s="31">
        <f t="shared" si="31"/>
        <v>1.1211283469734734</v>
      </c>
      <c r="O154" s="32">
        <f t="shared" si="32"/>
        <v>1</v>
      </c>
      <c r="P154" s="33">
        <f t="shared" si="33"/>
        <v>216.4704394813277</v>
      </c>
      <c r="Q154" s="33">
        <f t="shared" si="34"/>
        <v>166.07768275234662</v>
      </c>
      <c r="R154" s="32">
        <f t="shared" si="35"/>
        <v>1.5718433813774078</v>
      </c>
      <c r="S154" s="33">
        <f t="shared" si="36"/>
        <v>169.69226310861995</v>
      </c>
      <c r="T154" s="5">
        <f t="shared" si="37"/>
        <v>2572.3903891697773</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38"/>
        <v>0</v>
      </c>
      <c r="I155" s="27">
        <f>IF(Weather_Site!M153&lt;180,Weather_Site!M153+180,Weather_Site!M153-180)</f>
        <v>302</v>
      </c>
      <c r="J155" s="32">
        <f t="shared" si="27"/>
        <v>5.2446721372468028</v>
      </c>
      <c r="K155" s="32">
        <f t="shared" si="28"/>
        <v>6.713046439596293</v>
      </c>
      <c r="L155" s="32">
        <f t="shared" si="29"/>
        <v>6.8541592373398679</v>
      </c>
      <c r="M155" s="32">
        <f t="shared" si="30"/>
        <v>6.8541592373398679</v>
      </c>
      <c r="N155" s="31">
        <f t="shared" si="31"/>
        <v>1.0324094803826649</v>
      </c>
      <c r="O155" s="32">
        <f t="shared" si="32"/>
        <v>1</v>
      </c>
      <c r="P155" s="33">
        <f t="shared" si="33"/>
        <v>236.9719013514198</v>
      </c>
      <c r="Q155" s="33">
        <f t="shared" si="34"/>
        <v>160.78437469171038</v>
      </c>
      <c r="R155" s="32">
        <f t="shared" si="35"/>
        <v>1.6781157309196051</v>
      </c>
      <c r="S155" s="33">
        <f t="shared" si="36"/>
        <v>123.48407475553267</v>
      </c>
      <c r="T155" s="5">
        <f t="shared" si="37"/>
        <v>2816.0160943927053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38"/>
        <v>0</v>
      </c>
      <c r="I156" s="27">
        <f>IF(Weather_Site!M154&lt;180,Weather_Site!M154+180,Weather_Site!M154-180)</f>
        <v>303</v>
      </c>
      <c r="J156" s="32">
        <f t="shared" si="27"/>
        <v>5.5000956118876365</v>
      </c>
      <c r="K156" s="32">
        <f t="shared" si="28"/>
        <v>7.0409498102151673</v>
      </c>
      <c r="L156" s="32">
        <f t="shared" si="29"/>
        <v>7.2334224954303572</v>
      </c>
      <c r="M156" s="32">
        <f t="shared" si="30"/>
        <v>7.2334224954303572</v>
      </c>
      <c r="N156" s="31">
        <f t="shared" si="31"/>
        <v>0.95254273320107774</v>
      </c>
      <c r="O156" s="32">
        <f t="shared" si="32"/>
        <v>1</v>
      </c>
      <c r="P156" s="33">
        <f t="shared" si="33"/>
        <v>218.63985840334573</v>
      </c>
      <c r="Q156" s="33">
        <f t="shared" si="34"/>
        <v>148.34616558160732</v>
      </c>
      <c r="R156" s="32">
        <f t="shared" si="35"/>
        <v>1.5832168183925843</v>
      </c>
      <c r="S156" s="33">
        <f t="shared" si="36"/>
        <v>180.53066024569125</v>
      </c>
      <c r="T156" s="5">
        <f t="shared" si="37"/>
        <v>2598.1703173597584</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38"/>
        <v>0</v>
      </c>
      <c r="I157" s="27">
        <f>IF(Weather_Site!M155&lt;180,Weather_Site!M155+180,Weather_Site!M155-180)</f>
        <v>301</v>
      </c>
      <c r="J157" s="32">
        <f t="shared" si="27"/>
        <v>6.3583781194444526</v>
      </c>
      <c r="K157" s="32">
        <f t="shared" si="28"/>
        <v>8.1232747499845068</v>
      </c>
      <c r="L157" s="32">
        <f t="shared" si="29"/>
        <v>8.4766606166514364</v>
      </c>
      <c r="M157" s="32">
        <f t="shared" si="30"/>
        <v>8.4766606166514364</v>
      </c>
      <c r="N157" s="31">
        <f t="shared" si="31"/>
        <v>0.7514626997928826</v>
      </c>
      <c r="O157" s="32">
        <f t="shared" si="32"/>
        <v>1</v>
      </c>
      <c r="P157" s="33">
        <f t="shared" si="33"/>
        <v>172.48538312393885</v>
      </c>
      <c r="Q157" s="33">
        <f t="shared" si="34"/>
        <v>117.03056063138786</v>
      </c>
      <c r="R157" s="32">
        <f t="shared" si="35"/>
        <v>1.3337916521847668</v>
      </c>
      <c r="S157" s="33">
        <f t="shared" si="36"/>
        <v>290.70723865695118</v>
      </c>
      <c r="T157" s="5">
        <f t="shared" si="37"/>
        <v>2049.7013027894732</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38"/>
        <v>0</v>
      </c>
      <c r="I158" s="27">
        <f>IF(Weather_Site!M156&lt;180,Weather_Site!M156+180,Weather_Site!M156-180)</f>
        <v>299</v>
      </c>
      <c r="J158" s="32">
        <f t="shared" si="27"/>
        <v>7.1640610471580084</v>
      </c>
      <c r="K158" s="32">
        <f t="shared" si="28"/>
        <v>9.1413361345214401</v>
      </c>
      <c r="L158" s="32">
        <f t="shared" si="29"/>
        <v>9.6442190815884228</v>
      </c>
      <c r="M158" s="32">
        <f t="shared" si="30"/>
        <v>9.6442190815884228</v>
      </c>
      <c r="N158" s="31">
        <f t="shared" si="31"/>
        <v>0.61961829440995086</v>
      </c>
      <c r="O158" s="32">
        <f t="shared" si="32"/>
        <v>1</v>
      </c>
      <c r="P158" s="33">
        <f t="shared" si="33"/>
        <v>119.63754628422247</v>
      </c>
      <c r="Q158" s="33">
        <f t="shared" si="34"/>
        <v>91.78678855490638</v>
      </c>
      <c r="R158" s="32">
        <f t="shared" si="35"/>
        <v>1.023798017539266</v>
      </c>
      <c r="S158" s="33">
        <f t="shared" si="36"/>
        <v>267.07399232613716</v>
      </c>
      <c r="T158" s="5">
        <f t="shared" si="37"/>
        <v>1421.6928416775104</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38"/>
        <v>0</v>
      </c>
      <c r="I159" s="27">
        <f>IF(Weather_Site!M157&lt;180,Weather_Site!M157+180,Weather_Site!M157-180)</f>
        <v>297</v>
      </c>
      <c r="J159" s="32">
        <f t="shared" si="27"/>
        <v>8.0684500477403045</v>
      </c>
      <c r="K159" s="32">
        <f t="shared" si="28"/>
        <v>10.295598158445893</v>
      </c>
      <c r="L159" s="32">
        <f t="shared" si="29"/>
        <v>10.971262842064206</v>
      </c>
      <c r="M159" s="32">
        <f t="shared" si="30"/>
        <v>10.971262842064206</v>
      </c>
      <c r="N159" s="31">
        <f t="shared" si="31"/>
        <v>0.51099876586177517</v>
      </c>
      <c r="O159" s="32">
        <f t="shared" si="32"/>
        <v>1</v>
      </c>
      <c r="P159" s="33">
        <f t="shared" si="33"/>
        <v>98.664999167246805</v>
      </c>
      <c r="Q159" s="33">
        <f t="shared" si="34"/>
        <v>75.696499114245043</v>
      </c>
      <c r="R159" s="32">
        <f t="shared" si="35"/>
        <v>0.89062732825694357</v>
      </c>
      <c r="S159" s="33">
        <f t="shared" si="36"/>
        <v>130.47455758043861</v>
      </c>
      <c r="T159" s="5">
        <f t="shared" si="37"/>
        <v>1172.4690734374494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38"/>
        <v>0</v>
      </c>
      <c r="I160" s="27">
        <f>IF(Weather_Site!M158&lt;180,Weather_Site!M158+180,Weather_Site!M158-180)</f>
        <v>293</v>
      </c>
      <c r="J160" s="32">
        <f t="shared" si="27"/>
        <v>8.2703747104116001</v>
      </c>
      <c r="K160" s="32">
        <f t="shared" si="28"/>
        <v>10.556087425398633</v>
      </c>
      <c r="L160" s="32">
        <f t="shared" si="29"/>
        <v>11.272754547393664</v>
      </c>
      <c r="M160" s="32">
        <f t="shared" si="30"/>
        <v>10.556087425398633</v>
      </c>
      <c r="N160" s="31">
        <f t="shared" si="31"/>
        <v>0.54133554563104669</v>
      </c>
      <c r="O160" s="32">
        <f t="shared" si="32"/>
        <v>1</v>
      </c>
      <c r="P160" s="33">
        <f t="shared" si="33"/>
        <v>104.52250519394781</v>
      </c>
      <c r="Q160" s="33">
        <f t="shared" si="34"/>
        <v>80.190419993018523</v>
      </c>
      <c r="R160" s="32">
        <f t="shared" si="35"/>
        <v>0.92854889309948141</v>
      </c>
      <c r="S160" s="33">
        <f t="shared" si="36"/>
        <v>182.46434880119068</v>
      </c>
      <c r="T160" s="5">
        <f t="shared" si="37"/>
        <v>1242.0757700547463</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38"/>
        <v>0</v>
      </c>
      <c r="I161" s="27">
        <f>IF(Weather_Site!M159&lt;180,Weather_Site!M159+180,Weather_Site!M159-180)</f>
        <v>291</v>
      </c>
      <c r="J161" s="32">
        <f t="shared" si="27"/>
        <v>7.7174589038810835</v>
      </c>
      <c r="K161" s="32">
        <f t="shared" si="28"/>
        <v>9.8482947995875243</v>
      </c>
      <c r="L161" s="32">
        <f t="shared" si="29"/>
        <v>10.467943931674249</v>
      </c>
      <c r="M161" s="32">
        <f t="shared" si="30"/>
        <v>9.8482947995875243</v>
      </c>
      <c r="N161" s="31">
        <f t="shared" si="31"/>
        <v>0.60052175127583551</v>
      </c>
      <c r="O161" s="32">
        <f t="shared" si="32"/>
        <v>1</v>
      </c>
      <c r="P161" s="33">
        <f t="shared" si="33"/>
        <v>137.83947542788238</v>
      </c>
      <c r="Q161" s="33">
        <f t="shared" si="34"/>
        <v>93.523467289227028</v>
      </c>
      <c r="R161" s="32">
        <f t="shared" si="35"/>
        <v>1.1341831867535954</v>
      </c>
      <c r="S161" s="33">
        <f t="shared" si="36"/>
        <v>302.72532151230644</v>
      </c>
      <c r="T161" s="5">
        <f t="shared" si="37"/>
        <v>1637.9924330013357</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38"/>
        <v>0</v>
      </c>
      <c r="I162" s="27">
        <f>IF(Weather_Site!M160&lt;180,Weather_Site!M160+180,Weather_Site!M160-180)</f>
        <v>278</v>
      </c>
      <c r="J162" s="32">
        <f t="shared" si="27"/>
        <v>6.6762740027793148</v>
      </c>
      <c r="K162" s="32">
        <f t="shared" si="28"/>
        <v>8.5088494765970086</v>
      </c>
      <c r="L162" s="32">
        <f t="shared" si="29"/>
        <v>8.9379945900022175</v>
      </c>
      <c r="M162" s="32">
        <f t="shared" si="30"/>
        <v>8.5088494765970086</v>
      </c>
      <c r="N162" s="31">
        <f t="shared" si="31"/>
        <v>0.74721673586526238</v>
      </c>
      <c r="O162" s="32">
        <f t="shared" si="32"/>
        <v>1</v>
      </c>
      <c r="P162" s="33">
        <f t="shared" si="33"/>
        <v>276.06212016848752</v>
      </c>
      <c r="Q162" s="33">
        <f t="shared" si="34"/>
        <v>138.75313947810602</v>
      </c>
      <c r="R162" s="32">
        <f t="shared" si="35"/>
        <v>1.8739759540142753</v>
      </c>
      <c r="S162" s="33">
        <f t="shared" si="36"/>
        <v>67.712789047915521</v>
      </c>
      <c r="T162" s="5">
        <f t="shared" si="37"/>
        <v>3280.5381946688599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38"/>
        <v>0</v>
      </c>
      <c r="I163" s="27">
        <f>IF(Weather_Site!M161&lt;180,Weather_Site!M161+180,Weather_Site!M161-180)</f>
        <v>259</v>
      </c>
      <c r="J163" s="32">
        <f t="shared" si="27"/>
        <v>6.0819327838205668</v>
      </c>
      <c r="K163" s="32">
        <f t="shared" si="28"/>
        <v>7.7272418348161471</v>
      </c>
      <c r="L163" s="32">
        <f t="shared" si="29"/>
        <v>8.0420061186692529</v>
      </c>
      <c r="M163" s="32">
        <f t="shared" si="30"/>
        <v>7.7272418348161471</v>
      </c>
      <c r="N163" s="31">
        <f t="shared" si="31"/>
        <v>0.86299218676638523</v>
      </c>
      <c r="O163" s="32">
        <f t="shared" si="32"/>
        <v>1</v>
      </c>
      <c r="P163" s="33">
        <f t="shared" si="33"/>
        <v>198.08506531114929</v>
      </c>
      <c r="Q163" s="33">
        <f t="shared" si="34"/>
        <v>134.39983044482977</v>
      </c>
      <c r="R163" s="32">
        <f t="shared" si="35"/>
        <v>1.4741439238478944</v>
      </c>
      <c r="S163" s="33">
        <f t="shared" si="36"/>
        <v>237.35751874379821</v>
      </c>
      <c r="T163" s="5">
        <f t="shared" si="37"/>
        <v>2353.910859447491</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38"/>
        <v>0</v>
      </c>
      <c r="I164" s="27">
        <f>IF(Weather_Site!M162&lt;180,Weather_Site!M162+180,Weather_Site!M162-180)</f>
        <v>241</v>
      </c>
      <c r="J164" s="32">
        <f t="shared" si="27"/>
        <v>5.0832519360920498</v>
      </c>
      <c r="K164" s="32">
        <f t="shared" si="28"/>
        <v>6.4188678025368056</v>
      </c>
      <c r="L164" s="32">
        <f t="shared" si="29"/>
        <v>6.5125664009759801</v>
      </c>
      <c r="M164" s="32">
        <f t="shared" si="30"/>
        <v>6.4188678025368056</v>
      </c>
      <c r="N164" s="31">
        <f t="shared" si="31"/>
        <v>1.1388149053057934</v>
      </c>
      <c r="O164" s="32">
        <f t="shared" si="32"/>
        <v>1</v>
      </c>
      <c r="P164" s="33">
        <f t="shared" si="33"/>
        <v>497.63022882052644</v>
      </c>
      <c r="Q164" s="33">
        <f t="shared" si="34"/>
        <v>228.26020619506824</v>
      </c>
      <c r="R164" s="32">
        <f t="shared" si="35"/>
        <v>2.869324501516604</v>
      </c>
      <c r="S164" s="33">
        <f t="shared" si="36"/>
        <v>604.84371140843268</v>
      </c>
      <c r="T164" s="5">
        <f t="shared" si="37"/>
        <v>5913.505885817257</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38"/>
        <v>0</v>
      </c>
      <c r="I165" s="27">
        <f>IF(Weather_Site!M163&lt;180,Weather_Site!M163+180,Weather_Site!M163-180)</f>
        <v>236</v>
      </c>
      <c r="J165" s="32">
        <f t="shared" si="27"/>
        <v>4.4789243986859919</v>
      </c>
      <c r="K165" s="32">
        <f t="shared" si="28"/>
        <v>5.6007422429547633</v>
      </c>
      <c r="L165" s="32">
        <f t="shared" si="29"/>
        <v>5.5388981655048868</v>
      </c>
      <c r="M165" s="32">
        <f t="shared" si="30"/>
        <v>5.6007422429547633</v>
      </c>
      <c r="N165" s="31">
        <f t="shared" si="31"/>
        <v>1.3962923112874885</v>
      </c>
      <c r="O165" s="32">
        <f t="shared" si="32"/>
        <v>1</v>
      </c>
      <c r="P165" s="33">
        <f t="shared" si="33"/>
        <v>656.64329977196337</v>
      </c>
      <c r="Q165" s="33">
        <f t="shared" si="34"/>
        <v>290.08953167115544</v>
      </c>
      <c r="R165" s="32">
        <f t="shared" si="35"/>
        <v>3.5062697482387253</v>
      </c>
      <c r="S165" s="33">
        <f t="shared" si="36"/>
        <v>1049.8060192480202</v>
      </c>
      <c r="T165" s="5">
        <f t="shared" si="37"/>
        <v>7803.1112122901641</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38"/>
        <v>0</v>
      </c>
      <c r="I166" s="27">
        <f>IF(Weather_Site!M164&lt;180,Weather_Site!M164+180,Weather_Site!M164-180)</f>
        <v>270</v>
      </c>
      <c r="J166" s="32">
        <f t="shared" si="27"/>
        <v>4.2359017099369103</v>
      </c>
      <c r="K166" s="32">
        <f t="shared" si="28"/>
        <v>5.2544186749472122</v>
      </c>
      <c r="L166" s="32">
        <f t="shared" si="29"/>
        <v>5.1207972485536235</v>
      </c>
      <c r="M166" s="32">
        <f t="shared" si="30"/>
        <v>5.2544186749472122</v>
      </c>
      <c r="N166" s="31">
        <f t="shared" si="31"/>
        <v>1.5360986558199516</v>
      </c>
      <c r="O166" s="32">
        <f t="shared" si="32"/>
        <v>1</v>
      </c>
      <c r="P166" s="33">
        <f t="shared" si="33"/>
        <v>722.39092200029404</v>
      </c>
      <c r="Q166" s="33">
        <f t="shared" si="34"/>
        <v>319.1352813914861</v>
      </c>
      <c r="R166" s="32">
        <f t="shared" si="35"/>
        <v>3.7567166699938115</v>
      </c>
      <c r="S166" s="33">
        <f t="shared" si="36"/>
        <v>1232.0676061618015</v>
      </c>
      <c r="T166" s="5">
        <f t="shared" si="37"/>
        <v>8584.4121231034933</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38"/>
        <v>0</v>
      </c>
      <c r="I167" s="27">
        <f>IF(Weather_Site!M165&lt;180,Weather_Site!M165+180,Weather_Site!M165-180)</f>
        <v>297</v>
      </c>
      <c r="J167" s="32">
        <f t="shared" si="27"/>
        <v>4.0273423343804389</v>
      </c>
      <c r="K167" s="32">
        <f t="shared" si="28"/>
        <v>4.9550013010105456</v>
      </c>
      <c r="L167" s="32">
        <f t="shared" si="29"/>
        <v>4.7549622789711838</v>
      </c>
      <c r="M167" s="32">
        <f t="shared" si="30"/>
        <v>4.0273423343804389</v>
      </c>
      <c r="N167" s="31">
        <f t="shared" si="31"/>
        <v>2.2861291931173313</v>
      </c>
      <c r="O167" s="32">
        <f t="shared" si="32"/>
        <v>1</v>
      </c>
      <c r="P167" s="33">
        <f t="shared" si="33"/>
        <v>1150.643282679499</v>
      </c>
      <c r="Q167" s="33">
        <f t="shared" si="34"/>
        <v>491.62188945226791</v>
      </c>
      <c r="R167" s="32">
        <f t="shared" si="35"/>
        <v>5.2598845819925995</v>
      </c>
      <c r="S167" s="33">
        <f t="shared" si="36"/>
        <v>2248.9211855759459</v>
      </c>
      <c r="T167" s="5">
        <f t="shared" si="37"/>
        <v>13673.477675841379</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38"/>
        <v>0</v>
      </c>
      <c r="I168" s="27">
        <f>IF(Weather_Site!M166&lt;180,Weather_Site!M166+180,Weather_Site!M166-180)</f>
        <v>311</v>
      </c>
      <c r="J168" s="32">
        <f t="shared" si="27"/>
        <v>3.7783740864711661</v>
      </c>
      <c r="K168" s="32">
        <f t="shared" si="28"/>
        <v>4.6037033739908786</v>
      </c>
      <c r="L168" s="32">
        <f t="shared" si="29"/>
        <v>4.3188433123433434</v>
      </c>
      <c r="M168" s="32">
        <f t="shared" si="30"/>
        <v>3.7783740864711661</v>
      </c>
      <c r="N168" s="31">
        <f t="shared" si="31"/>
        <v>2.514968740766149</v>
      </c>
      <c r="O168" s="32">
        <f t="shared" si="32"/>
        <v>1</v>
      </c>
      <c r="P168" s="33">
        <f t="shared" si="33"/>
        <v>1348.3009783227376</v>
      </c>
      <c r="Q168" s="33">
        <f t="shared" si="34"/>
        <v>559.08683777334113</v>
      </c>
      <c r="R168" s="32">
        <f t="shared" si="35"/>
        <v>5.8986411475575826</v>
      </c>
      <c r="S168" s="33">
        <f t="shared" si="36"/>
        <v>2634.0371033482179</v>
      </c>
      <c r="T168" s="5">
        <f t="shared" si="37"/>
        <v>16022.309959068531</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38"/>
        <v>0</v>
      </c>
      <c r="I169" s="27">
        <f>IF(Weather_Site!M167&lt;180,Weather_Site!M167+180,Weather_Site!M167-180)</f>
        <v>356</v>
      </c>
      <c r="J169" s="32">
        <f t="shared" si="27"/>
        <v>3.6931053867142438</v>
      </c>
      <c r="K169" s="32">
        <f t="shared" si="28"/>
        <v>4.4804463300189692</v>
      </c>
      <c r="L169" s="32">
        <f t="shared" si="29"/>
        <v>4.1641396330552736</v>
      </c>
      <c r="M169" s="32">
        <f t="shared" si="30"/>
        <v>3.6931053867142438</v>
      </c>
      <c r="N169" s="31">
        <f t="shared" si="31"/>
        <v>2.6022732947688674</v>
      </c>
      <c r="O169" s="32">
        <f t="shared" si="32"/>
        <v>1</v>
      </c>
      <c r="P169" s="33">
        <f t="shared" si="33"/>
        <v>1223.7876763855238</v>
      </c>
      <c r="Q169" s="33">
        <f t="shared" si="34"/>
        <v>540.64054872850147</v>
      </c>
      <c r="R169" s="32">
        <f t="shared" si="35"/>
        <v>5.4995553372978776</v>
      </c>
      <c r="S169" s="33">
        <f t="shared" si="36"/>
        <v>2446.7864844425476</v>
      </c>
      <c r="T169" s="5">
        <f t="shared" si="37"/>
        <v>14542.676887714642</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38"/>
        <v>0</v>
      </c>
      <c r="I170" s="27">
        <f>IF(Weather_Site!M168&lt;180,Weather_Site!M168+180,Weather_Site!M168-180)</f>
        <v>8</v>
      </c>
      <c r="J170" s="32">
        <f t="shared" si="27"/>
        <v>3.5965749046632314</v>
      </c>
      <c r="K170" s="32">
        <f t="shared" si="28"/>
        <v>4.3357127310673871</v>
      </c>
      <c r="L170" s="32">
        <f t="shared" si="29"/>
        <v>3.9813782463014866</v>
      </c>
      <c r="M170" s="32">
        <f t="shared" si="30"/>
        <v>3.5965749046632314</v>
      </c>
      <c r="N170" s="31">
        <f t="shared" si="31"/>
        <v>2.7073803893376227</v>
      </c>
      <c r="O170" s="32">
        <f t="shared" si="32"/>
        <v>1</v>
      </c>
      <c r="P170" s="33">
        <f t="shared" si="33"/>
        <v>1362.6653594330173</v>
      </c>
      <c r="Q170" s="33">
        <f t="shared" si="34"/>
        <v>582.21008089977499</v>
      </c>
      <c r="R170" s="32">
        <f t="shared" si="35"/>
        <v>5.9440093889665553</v>
      </c>
      <c r="S170" s="33">
        <f t="shared" si="36"/>
        <v>2701.0428386156855</v>
      </c>
      <c r="T170" s="5">
        <f t="shared" si="37"/>
        <v>16193.006687929021</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38"/>
        <v>0</v>
      </c>
      <c r="I171" s="27">
        <f>IF(Weather_Site!M169&lt;180,Weather_Site!M169+180,Weather_Site!M169-180)</f>
        <v>15</v>
      </c>
      <c r="J171" s="32">
        <f t="shared" si="27"/>
        <v>3.5618406451324964</v>
      </c>
      <c r="K171" s="32">
        <f t="shared" si="28"/>
        <v>4.2894652893142737</v>
      </c>
      <c r="L171" s="32">
        <f t="shared" si="29"/>
        <v>3.922267539294737</v>
      </c>
      <c r="M171" s="32">
        <f t="shared" si="30"/>
        <v>3.5618406451324964</v>
      </c>
      <c r="N171" s="31">
        <f t="shared" si="31"/>
        <v>2.746946125914993</v>
      </c>
      <c r="O171" s="32">
        <f t="shared" si="32"/>
        <v>1</v>
      </c>
      <c r="P171" s="33">
        <f t="shared" si="33"/>
        <v>1291.8238923434476</v>
      </c>
      <c r="Q171" s="33">
        <f t="shared" si="34"/>
        <v>570.69734521262865</v>
      </c>
      <c r="R171" s="32">
        <f t="shared" si="35"/>
        <v>5.7189470917723657</v>
      </c>
      <c r="S171" s="33">
        <f t="shared" si="36"/>
        <v>2592.8347436399163</v>
      </c>
      <c r="T171" s="5">
        <f t="shared" si="37"/>
        <v>15351.173920681304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38"/>
        <v>0</v>
      </c>
      <c r="I172" s="27">
        <f>IF(Weather_Site!M170&lt;180,Weather_Site!M170+180,Weather_Site!M170-180)</f>
        <v>11</v>
      </c>
      <c r="J172" s="32">
        <f t="shared" si="27"/>
        <v>3.6236309868267367</v>
      </c>
      <c r="K172" s="32">
        <f t="shared" si="28"/>
        <v>4.3940106085298263</v>
      </c>
      <c r="L172" s="32">
        <f t="shared" si="29"/>
        <v>4.0542842905723688</v>
      </c>
      <c r="M172" s="32">
        <f t="shared" si="30"/>
        <v>4.3940106085298263</v>
      </c>
      <c r="N172" s="31">
        <f t="shared" si="31"/>
        <v>2.0069019343915229</v>
      </c>
      <c r="O172" s="32">
        <f t="shared" si="32"/>
        <v>1</v>
      </c>
      <c r="P172" s="33">
        <f t="shared" si="33"/>
        <v>1075.9210632230636</v>
      </c>
      <c r="Q172" s="33">
        <f t="shared" si="34"/>
        <v>446.1417106434281</v>
      </c>
      <c r="R172" s="32">
        <f t="shared" si="35"/>
        <v>5.0106413721322083</v>
      </c>
      <c r="S172" s="33">
        <f t="shared" si="36"/>
        <v>2047.5049187074601</v>
      </c>
      <c r="T172" s="5">
        <f t="shared" si="37"/>
        <v>12785.528634634071</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38"/>
        <v>0</v>
      </c>
      <c r="I173" s="27">
        <f>IF(Weather_Site!M171&lt;180,Weather_Site!M171+180,Weather_Site!M171-180)</f>
        <v>5</v>
      </c>
      <c r="J173" s="32">
        <f t="shared" si="27"/>
        <v>3.7103556929114845</v>
      </c>
      <c r="K173" s="32">
        <f t="shared" si="28"/>
        <v>4.5303297714744417</v>
      </c>
      <c r="L173" s="32">
        <f t="shared" si="29"/>
        <v>4.2257525779503133</v>
      </c>
      <c r="M173" s="32">
        <f t="shared" si="30"/>
        <v>4.5303297714744417</v>
      </c>
      <c r="N173" s="31">
        <f t="shared" si="31"/>
        <v>1.9172971308022666</v>
      </c>
      <c r="O173" s="32">
        <f t="shared" si="32"/>
        <v>1</v>
      </c>
      <c r="P173" s="33">
        <f t="shared" si="33"/>
        <v>837.8051652405054</v>
      </c>
      <c r="Q173" s="33">
        <f t="shared" si="34"/>
        <v>384.29654931204357</v>
      </c>
      <c r="R173" s="32">
        <f t="shared" si="35"/>
        <v>4.1816578667354376</v>
      </c>
      <c r="S173" s="33">
        <f t="shared" si="36"/>
        <v>1570.0012302685154</v>
      </c>
      <c r="T173" s="5">
        <f t="shared" si="37"/>
        <v>9955.9180469413404</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38"/>
        <v>0</v>
      </c>
      <c r="I174" s="27">
        <f>IF(Weather_Site!M172&lt;180,Weather_Site!M172+180,Weather_Site!M172-180)</f>
        <v>355</v>
      </c>
      <c r="J174" s="32">
        <f t="shared" si="27"/>
        <v>3.9627234453309139</v>
      </c>
      <c r="K174" s="32">
        <f t="shared" si="28"/>
        <v>4.9014486989921133</v>
      </c>
      <c r="L174" s="32">
        <f t="shared" si="29"/>
        <v>4.6871121703472465</v>
      </c>
      <c r="M174" s="32">
        <f t="shared" si="30"/>
        <v>4.6871121703472465</v>
      </c>
      <c r="N174" s="31">
        <f t="shared" si="31"/>
        <v>1.8222166220897333</v>
      </c>
      <c r="O174" s="32">
        <f t="shared" si="32"/>
        <v>1</v>
      </c>
      <c r="P174" s="33">
        <f t="shared" si="33"/>
        <v>735.03711455284747</v>
      </c>
      <c r="Q174" s="33">
        <f t="shared" si="34"/>
        <v>351.83842606316517</v>
      </c>
      <c r="R174" s="32">
        <f t="shared" si="35"/>
        <v>3.8041504544302351</v>
      </c>
      <c r="S174" s="33">
        <f t="shared" si="36"/>
        <v>1329.2337461033903</v>
      </c>
      <c r="T174" s="5">
        <f t="shared" si="37"/>
        <v>8734.6910446030051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38"/>
        <v>0</v>
      </c>
      <c r="I175" s="27">
        <f>IF(Weather_Site!M173&lt;180,Weather_Site!M173+180,Weather_Site!M173-180)</f>
        <v>355</v>
      </c>
      <c r="J175" s="32">
        <f t="shared" si="27"/>
        <v>4.4400193958832306</v>
      </c>
      <c r="K175" s="32">
        <f t="shared" si="28"/>
        <v>5.574916396396576</v>
      </c>
      <c r="L175" s="32">
        <f t="shared" si="29"/>
        <v>5.5064660388809408</v>
      </c>
      <c r="M175" s="32">
        <f t="shared" si="30"/>
        <v>5.5064660388809408</v>
      </c>
      <c r="N175" s="31">
        <f t="shared" si="31"/>
        <v>1.4321826722497881</v>
      </c>
      <c r="O175" s="32">
        <f t="shared" si="32"/>
        <v>1</v>
      </c>
      <c r="P175" s="33">
        <f t="shared" si="33"/>
        <v>529.12544111048885</v>
      </c>
      <c r="Q175" s="33">
        <f t="shared" si="34"/>
        <v>265.94672274127771</v>
      </c>
      <c r="R175" s="32">
        <f t="shared" si="35"/>
        <v>2.9995008063134603</v>
      </c>
      <c r="S175" s="33">
        <f t="shared" si="36"/>
        <v>756.35050915218744</v>
      </c>
      <c r="T175" s="5">
        <f t="shared" si="37"/>
        <v>6287.7739918629759</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38"/>
        <v>0</v>
      </c>
      <c r="I176" s="27">
        <f>IF(Weather_Site!M174&lt;180,Weather_Site!M174+180,Weather_Site!M174-180)</f>
        <v>335</v>
      </c>
      <c r="J176" s="32">
        <f t="shared" si="27"/>
        <v>4.9934390040951682</v>
      </c>
      <c r="K176" s="32">
        <f t="shared" si="28"/>
        <v>6.3232162056620451</v>
      </c>
      <c r="L176" s="32">
        <f t="shared" si="29"/>
        <v>6.3972521553963739</v>
      </c>
      <c r="M176" s="32">
        <f t="shared" si="30"/>
        <v>6.3972521553963739</v>
      </c>
      <c r="N176" s="31">
        <f t="shared" si="31"/>
        <v>1.144572378713274</v>
      </c>
      <c r="O176" s="32">
        <f t="shared" si="32"/>
        <v>1</v>
      </c>
      <c r="P176" s="33">
        <f t="shared" si="33"/>
        <v>422.86670304297297</v>
      </c>
      <c r="Q176" s="33">
        <f t="shared" si="34"/>
        <v>212.53941899800751</v>
      </c>
      <c r="R176" s="32">
        <f t="shared" si="35"/>
        <v>2.5507107164429055</v>
      </c>
      <c r="S176" s="33">
        <f t="shared" si="36"/>
        <v>414.91537473170138</v>
      </c>
      <c r="T176" s="5">
        <f t="shared" si="37"/>
        <v>5025.0659878273291</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38"/>
        <v>0</v>
      </c>
      <c r="I177" s="27">
        <f>IF(Weather_Site!M175&lt;180,Weather_Site!M175+180,Weather_Site!M175-180)</f>
        <v>332</v>
      </c>
      <c r="J177" s="32">
        <f t="shared" si="27"/>
        <v>5.5282365923897672</v>
      </c>
      <c r="K177" s="32">
        <f t="shared" si="28"/>
        <v>7.0244060043027012</v>
      </c>
      <c r="L177" s="32">
        <f t="shared" si="29"/>
        <v>7.2197698105444994</v>
      </c>
      <c r="M177" s="32">
        <f t="shared" si="30"/>
        <v>7.2197698105444994</v>
      </c>
      <c r="N177" s="31">
        <f t="shared" si="31"/>
        <v>0.95523689407749957</v>
      </c>
      <c r="O177" s="32">
        <f t="shared" si="32"/>
        <v>1</v>
      </c>
      <c r="P177" s="33">
        <f t="shared" si="33"/>
        <v>385.3189361931818</v>
      </c>
      <c r="Q177" s="33">
        <f t="shared" si="34"/>
        <v>184.43967706993263</v>
      </c>
      <c r="R177" s="32">
        <f t="shared" si="35"/>
        <v>2.3848671893741127</v>
      </c>
      <c r="S177" s="33">
        <f t="shared" si="36"/>
        <v>268.74554010554812</v>
      </c>
      <c r="T177" s="5">
        <f t="shared" si="37"/>
        <v>4578.8733584289776</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38"/>
        <v>0</v>
      </c>
      <c r="I178" s="27">
        <f>IF(Weather_Site!M176&lt;180,Weather_Site!M176+180,Weather_Site!M176-180)</f>
        <v>340</v>
      </c>
      <c r="J178" s="32">
        <f t="shared" si="27"/>
        <v>6.143630239123187</v>
      </c>
      <c r="K178" s="32">
        <f t="shared" si="28"/>
        <v>7.822455114802878</v>
      </c>
      <c r="L178" s="32">
        <f t="shared" si="29"/>
        <v>8.1462616337254374</v>
      </c>
      <c r="M178" s="32">
        <f t="shared" si="30"/>
        <v>8.1462616337254374</v>
      </c>
      <c r="N178" s="31">
        <f t="shared" si="31"/>
        <v>0.79748175908096208</v>
      </c>
      <c r="O178" s="32">
        <f t="shared" si="32"/>
        <v>1</v>
      </c>
      <c r="P178" s="33">
        <f t="shared" si="33"/>
        <v>294.63272788269495</v>
      </c>
      <c r="Q178" s="33">
        <f t="shared" si="34"/>
        <v>148.08701737772503</v>
      </c>
      <c r="R178" s="32">
        <f t="shared" si="35"/>
        <v>1.96429285600829</v>
      </c>
      <c r="S178" s="33">
        <f t="shared" si="36"/>
        <v>50</v>
      </c>
      <c r="T178" s="5">
        <f t="shared" si="37"/>
        <v>3501.2189163393582</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38"/>
        <v>0</v>
      </c>
      <c r="I179" s="27">
        <f>IF(Weather_Site!M177&lt;180,Weather_Site!M177+180,Weather_Site!M177-180)</f>
        <v>10</v>
      </c>
      <c r="J179" s="32">
        <f t="shared" si="27"/>
        <v>6.6445573729010716</v>
      </c>
      <c r="K179" s="32">
        <f t="shared" si="28"/>
        <v>8.4706917847686931</v>
      </c>
      <c r="L179" s="32">
        <f t="shared" si="29"/>
        <v>8.8918378918867216</v>
      </c>
      <c r="M179" s="32">
        <f t="shared" si="30"/>
        <v>8.8918378918867216</v>
      </c>
      <c r="N179" s="31">
        <f t="shared" si="31"/>
        <v>0.6996182837572078</v>
      </c>
      <c r="O179" s="32">
        <f t="shared" si="32"/>
        <v>1</v>
      </c>
      <c r="P179" s="33">
        <f t="shared" si="33"/>
        <v>282.20871127362034</v>
      </c>
      <c r="Q179" s="33">
        <f t="shared" si="34"/>
        <v>135.08415674523866</v>
      </c>
      <c r="R179" s="32">
        <f t="shared" si="35"/>
        <v>1.904050637760768</v>
      </c>
      <c r="S179" s="33">
        <f t="shared" si="36"/>
        <v>63.591594208739934</v>
      </c>
      <c r="T179" s="5">
        <f t="shared" si="37"/>
        <v>3353.5801856348544</v>
      </c>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68HOiByVix0PRAWf/s1o4ZHwOOCDU587Fe9CN5Af19Ht3WQj7FT2BAhdgMVkJoWAL15fp4cvYrr21+exSoSOEg==" saltValue="XLw2V7E3qV1CkL5htb8BF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abSelected="1" workbookViewId="0">
      <selection activeCell="N18" sqref="N18"/>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1092</v>
      </c>
    </row>
    <row r="2" spans="1:28" ht="16.8" x14ac:dyDescent="0.3">
      <c r="A2" s="619" t="s">
        <v>94</v>
      </c>
      <c r="B2" s="620" t="str">
        <f>Weather_Site!D2</f>
        <v>Nicholson Street Melbourne</v>
      </c>
      <c r="C2" s="620"/>
      <c r="D2" s="620"/>
      <c r="E2" s="620"/>
      <c r="H2" s="676"/>
      <c r="I2" s="391"/>
      <c r="J2" s="676"/>
      <c r="R2" s="728" t="s">
        <v>1141</v>
      </c>
      <c r="S2" s="727"/>
      <c r="T2" s="728"/>
      <c r="U2" s="728"/>
      <c r="V2" s="725"/>
    </row>
    <row r="3" spans="1:28" ht="13.8" x14ac:dyDescent="0.25">
      <c r="L3" s="677" t="s">
        <v>1088</v>
      </c>
      <c r="Q3" s="735"/>
      <c r="R3" s="734" t="s">
        <v>736</v>
      </c>
      <c r="S3" s="734"/>
      <c r="T3" s="733"/>
      <c r="U3" s="729" t="s">
        <v>1133</v>
      </c>
      <c r="V3" s="725"/>
    </row>
    <row r="4" spans="1:28" x14ac:dyDescent="0.25">
      <c r="A4" s="621" t="s">
        <v>35</v>
      </c>
      <c r="B4" s="622"/>
      <c r="C4" s="623">
        <f>Weather_Site!D6</f>
        <v>0</v>
      </c>
      <c r="L4" s="678" t="s">
        <v>1089</v>
      </c>
      <c r="M4" s="679"/>
      <c r="N4" s="680"/>
      <c r="O4" s="679"/>
      <c r="P4" s="418">
        <v>35</v>
      </c>
      <c r="Q4" s="736"/>
      <c r="R4" s="728" t="s">
        <v>1134</v>
      </c>
      <c r="S4" s="728"/>
      <c r="T4" s="732"/>
      <c r="U4" s="729" t="s">
        <v>1135</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5">
      <c r="A7" s="630" t="s">
        <v>209</v>
      </c>
      <c r="B7" s="631"/>
      <c r="C7" s="206" t="s">
        <v>250</v>
      </c>
      <c r="D7" s="668">
        <f>IF(C7="Low",1,IF(C7="Moderate",2,IF(C7="High",3,IF(C7="Very High",3.5,IF(C7="Extreme",4,0)))))</f>
        <v>2</v>
      </c>
      <c r="E7" s="668">
        <f>IF(D7=4,4,IF(D7=3.5,3.5,IF(D7=3,3,IF(D7=2,2,IF(D7=1,1,0)))))</f>
        <v>2</v>
      </c>
      <c r="F7" s="191">
        <f>SUM(E6:E7)</f>
        <v>14</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5">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5">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5">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5">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8.6999999999999993</v>
      </c>
      <c r="Q14" s="636">
        <f>1.008/(1+104.9*EXP(-0.9306*P14))</f>
        <v>0.97678030108050951</v>
      </c>
      <c r="R14" s="636">
        <f>O14*Q14</f>
        <v>0.78911471440679704</v>
      </c>
      <c r="S14" s="635">
        <f>MIN(IF(H14&gt;0,2^(H14/10),(2^(-H14/10))/(2*(2^(-H14/10))-1)),4)</f>
        <v>1</v>
      </c>
      <c r="T14" s="706">
        <f>IF(I14&gt;2,(0.03+0.05024*(I14-1)^0.92628*(($E$6+$E$7)/10)^0.79928)*1000*R14*S14,0.03*R14*S14)</f>
        <v>225.44621380087682</v>
      </c>
      <c r="U14" s="707">
        <f>(0.19591*(I14)^0.82569*(($E$6+$E$7)/10)^0.46722)*$C$10^0.495*1000*R14*S14</f>
        <v>645.32101810752476</v>
      </c>
      <c r="V14" s="707">
        <f>(0.05235*(G14)^1.19128)*1000*R14*S14</f>
        <v>1123.3132473175751</v>
      </c>
      <c r="W14" s="708">
        <f>IF((E$6+E$7)&lt;1,0,1/(1+EXP(-(-23.9315+1.7033*I14+12.0822*R14+9.5236*($E$6+$E$7)))))</f>
        <v>1</v>
      </c>
      <c r="X14" s="636">
        <f t="shared" ref="X14" si="1">IF(U14&lt;300,0,1/(1+EXP(-(-32.3074+0.2951*G14+26.8734*R14))))</f>
        <v>1.6929224368486674E-3</v>
      </c>
      <c r="Y14" s="709">
        <f>IF(W14&lt;0.5,(T14*(1-W14)+U14*W14),(T14*(1-W14)+U14*W14*(1-X14)+V14*X14))</f>
        <v>646.1302218769938</v>
      </c>
      <c r="Z14" s="635">
        <f>0.0193*Y14^0.723*EXP(0.64*$C$10)</f>
        <v>3.4655924080258016</v>
      </c>
      <c r="AA14" s="709">
        <f>(1/(0.2204*G14+1))*Y14</f>
        <v>142.7470444231605</v>
      </c>
      <c r="AB14" s="741">
        <f>18600*Y14/3600*$F$11/10</f>
        <v>7678.1808033049429</v>
      </c>
    </row>
    <row r="15" spans="1:28"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2">C$4</f>
        <v>0</v>
      </c>
      <c r="I15" s="703">
        <f t="shared" ref="I15:I78" si="3">G15/$O$10</f>
        <v>4.333333333333333</v>
      </c>
      <c r="J15" s="27">
        <f>IF(Weather_Site!M13&lt;180,Weather_Site!M13+180,Weather_Site!M13-180)</f>
        <v>132</v>
      </c>
      <c r="K15" s="635">
        <f t="shared" ref="K15:K78" si="4">2.76+0.124*E15-0.0187*D15</f>
        <v>5.3442799999999995</v>
      </c>
      <c r="L15" s="635">
        <f t="shared" ref="L15:L78" si="5">3.6+0.169*E15-0.045*D15</f>
        <v>6.6615999999999991</v>
      </c>
      <c r="M15" s="635">
        <f t="shared" ref="M15:M78" si="6">3.08+0.198*E15-0.0483*D15</f>
        <v>6.7713199999999993</v>
      </c>
      <c r="N15" s="704">
        <f t="shared" ref="N15:N78" si="7">IF(AND(OR(MONTH(B15)&gt;10,MONTH(B15)&lt;3),AND(HOUR(C15)&gt;=13,HOUR(C15)&lt;=17)),K15,IF(OR(HOUR(C15)&lt;6,HOUR(C15)&gt;=20),M15,L15))</f>
        <v>6.7713199999999993</v>
      </c>
      <c r="O15" s="636">
        <f t="shared" ref="O15:O78" si="8">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8.6999999999999993</v>
      </c>
      <c r="Q15" s="636">
        <f t="shared" ref="Q15:Q78" si="9">1.008/(1+104.9*EXP(-0.9306*P15))</f>
        <v>0.97678030108050951</v>
      </c>
      <c r="R15" s="636">
        <f t="shared" ref="R15:R78" si="10">O15*Q15</f>
        <v>0.7844630261726433</v>
      </c>
      <c r="S15" s="635">
        <f t="shared" ref="S15:S78" si="11">MIN(IF(H15&gt;0,2^(H15/10),(2^(-H15/10))/(2*(2^(-H15/10))-1)),4)</f>
        <v>1</v>
      </c>
      <c r="T15" s="706">
        <f t="shared" ref="T15:T78" si="12">IF(I15&gt;2,(0.03+0.05024*(I15-1)^0.92628*(($E$6+$E$7)/10)^0.79928)*1000*R15*S15,0.03*R15*S15)</f>
        <v>180.84212285834701</v>
      </c>
      <c r="U15" s="707">
        <f t="shared" ref="U15:U78" si="13">(0.19591*(I15)^0.82569*(($E$6+$E$7)/10)^0.46722)*$C$10^0.495*1000*R15*S15</f>
        <v>540.44338531472795</v>
      </c>
      <c r="V15" s="707">
        <f t="shared" ref="V15:V78" si="14">(0.05235*(G15)^1.19128)*1000*R15*S15</f>
        <v>871.98216395278178</v>
      </c>
      <c r="W15" s="708">
        <f t="shared" ref="W15:W78" si="15">IF((E$6+E$7)&lt;1,0,1/(1+EXP(-(-23.9315+1.7033*I15+12.0822*R15+9.5236*($E$6+$E$7)))))</f>
        <v>1</v>
      </c>
      <c r="X15" s="636">
        <f t="shared" ref="X15:X78" si="16">IF(U15&lt;300,0,1/(1+EXP(-(-32.3074+0.2951*G15+26.8734*R15))))</f>
        <v>6.1706970114504506E-4</v>
      </c>
      <c r="Y15" s="709">
        <f t="shared" ref="Y15:Y78" si="17">IF(W15&lt;0.5,(T15*(1-W15)+U15*W15),(T15*(1-W15)+U15*W15*(1-X15)+V15*X15))</f>
        <v>540.64796784978012</v>
      </c>
      <c r="Z15" s="635">
        <f t="shared" ref="Z15:Z78" si="18">0.0193*Y15^0.723*EXP(0.64*$C$10)</f>
        <v>3.0465851538660154</v>
      </c>
      <c r="AA15" s="709">
        <f t="shared" ref="AA15:AA78" si="19">(1/(0.2204*G15+1))*Y15</f>
        <v>139.87580664642971</v>
      </c>
      <c r="AB15" s="741">
        <f t="shared" ref="AB15:AB78" si="20">18600*Y15/3600*$F$11/10</f>
        <v>6424.7000179482202</v>
      </c>
    </row>
    <row r="16" spans="1:28"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2"/>
        <v>0</v>
      </c>
      <c r="I16" s="703">
        <f t="shared" si="3"/>
        <v>5.333333333333333</v>
      </c>
      <c r="J16" s="27">
        <f>IF(Weather_Site!M14&lt;180,Weather_Site!M14+180,Weather_Site!M14-180)</f>
        <v>156</v>
      </c>
      <c r="K16" s="635">
        <f t="shared" si="4"/>
        <v>5.7207100000000004</v>
      </c>
      <c r="L16" s="635">
        <f t="shared" si="5"/>
        <v>7.1922000000000015</v>
      </c>
      <c r="M16" s="635">
        <f t="shared" si="6"/>
        <v>7.3889899999999997</v>
      </c>
      <c r="N16" s="704">
        <f t="shared" si="7"/>
        <v>7.1922000000000015</v>
      </c>
      <c r="O16" s="636">
        <f t="shared" si="8"/>
        <v>0.76553030446362547</v>
      </c>
      <c r="P16" s="705">
        <f>IF($O$11,Weather_Site!H14,IF(0.191*(Weather_Site!K14+104)*(Weather_Site!J14+1)^1.5/(3.52*(Weather_Site!J14+1)^1.5+Weather_Site!I14-1)&gt;10, 10,0.191*(Weather_Site!K14+104)*(Weather_Site!J14+1)^1.5/(3.52*(Weather_Site!J14+1)^1.5+Weather_Site!I14-1)))</f>
        <v>8.6999999999999993</v>
      </c>
      <c r="Q16" s="636">
        <f t="shared" si="9"/>
        <v>0.97678030108050951</v>
      </c>
      <c r="R16" s="636">
        <f t="shared" si="10"/>
        <v>0.74775492128023424</v>
      </c>
      <c r="S16" s="635">
        <f t="shared" si="11"/>
        <v>1</v>
      </c>
      <c r="T16" s="706">
        <f t="shared" si="12"/>
        <v>213.62992322393507</v>
      </c>
      <c r="U16" s="707">
        <f t="shared" si="13"/>
        <v>611.49787006343581</v>
      </c>
      <c r="V16" s="707">
        <f t="shared" si="14"/>
        <v>1064.4371388416257</v>
      </c>
      <c r="W16" s="708">
        <f t="shared" si="15"/>
        <v>1</v>
      </c>
      <c r="X16" s="636">
        <f t="shared" si="16"/>
        <v>5.5772710120444483E-4</v>
      </c>
      <c r="Y16" s="709">
        <f t="shared" si="17"/>
        <v>611.75048656883314</v>
      </c>
      <c r="Z16" s="635">
        <f t="shared" si="18"/>
        <v>3.3312660560967053</v>
      </c>
      <c r="AA16" s="709">
        <f t="shared" si="19"/>
        <v>135.15166281566653</v>
      </c>
      <c r="AB16" s="741">
        <f t="shared" si="20"/>
        <v>7269.6349487262996</v>
      </c>
    </row>
    <row r="17" spans="1:28"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2"/>
        <v>0</v>
      </c>
      <c r="I17" s="703">
        <f t="shared" si="3"/>
        <v>8.3333333333333339</v>
      </c>
      <c r="J17" s="27">
        <f>IF(Weather_Site!M15&lt;180,Weather_Site!M15+180,Weather_Site!M15-180)</f>
        <v>182</v>
      </c>
      <c r="K17" s="635">
        <f t="shared" si="4"/>
        <v>5.8266999999999998</v>
      </c>
      <c r="L17" s="635">
        <f t="shared" si="5"/>
        <v>7.3308</v>
      </c>
      <c r="M17" s="635">
        <f t="shared" si="6"/>
        <v>7.5527000000000006</v>
      </c>
      <c r="N17" s="704">
        <f t="shared" si="7"/>
        <v>7.3308</v>
      </c>
      <c r="O17" s="636">
        <f t="shared" si="8"/>
        <v>0.75299289801921143</v>
      </c>
      <c r="P17" s="705">
        <f>IF($O$11,Weather_Site!H15,IF(0.191*(Weather_Site!K15+104)*(Weather_Site!J15+1)^1.5/(3.52*(Weather_Site!J15+1)^1.5+Weather_Site!I15-1)&gt;10, 10,0.191*(Weather_Site!K15+104)*(Weather_Site!J15+1)^1.5/(3.52*(Weather_Site!J15+1)^1.5+Weather_Site!I15-1)))</f>
        <v>8.6999999999999993</v>
      </c>
      <c r="Q17" s="636">
        <f t="shared" si="9"/>
        <v>0.97678030108050951</v>
      </c>
      <c r="R17" s="636">
        <f t="shared" si="10"/>
        <v>0.73550862963869068</v>
      </c>
      <c r="S17" s="635">
        <f t="shared" si="11"/>
        <v>1</v>
      </c>
      <c r="T17" s="706">
        <f t="shared" si="12"/>
        <v>328.22354969212398</v>
      </c>
      <c r="U17" s="707">
        <f t="shared" si="13"/>
        <v>869.47820192404947</v>
      </c>
      <c r="V17" s="707">
        <f t="shared" si="14"/>
        <v>1781.7322139430337</v>
      </c>
      <c r="W17" s="708">
        <f t="shared" si="15"/>
        <v>1</v>
      </c>
      <c r="X17" s="636">
        <f t="shared" si="16"/>
        <v>5.6846638923923522E-3</v>
      </c>
      <c r="Y17" s="709">
        <f t="shared" si="17"/>
        <v>874.66405936686385</v>
      </c>
      <c r="Z17" s="635">
        <f t="shared" si="18"/>
        <v>4.3138727498866878</v>
      </c>
      <c r="AA17" s="709">
        <f t="shared" si="19"/>
        <v>134.35699836664574</v>
      </c>
      <c r="AB17" s="741">
        <f t="shared" si="20"/>
        <v>10393.924572142898</v>
      </c>
    </row>
    <row r="18" spans="1:28"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2"/>
        <v>0</v>
      </c>
      <c r="I18" s="703">
        <f t="shared" si="3"/>
        <v>10.666666666666666</v>
      </c>
      <c r="J18" s="27">
        <f>IF(Weather_Site!M16&lt;180,Weather_Site!M16+180,Weather_Site!M16-180)</f>
        <v>180</v>
      </c>
      <c r="K18" s="635">
        <f t="shared" si="4"/>
        <v>5.5108899999999998</v>
      </c>
      <c r="L18" s="635">
        <f t="shared" si="5"/>
        <v>6.8554999999999993</v>
      </c>
      <c r="M18" s="635">
        <f t="shared" si="6"/>
        <v>7.0060100000000016</v>
      </c>
      <c r="N18" s="704">
        <f t="shared" si="7"/>
        <v>6.8554999999999993</v>
      </c>
      <c r="O18" s="636">
        <f t="shared" si="8"/>
        <v>0.79566544030590147</v>
      </c>
      <c r="P18" s="705">
        <f>IF($O$11,Weather_Site!H16,IF(0.191*(Weather_Site!K16+104)*(Weather_Site!J16+1)^1.5/(3.52*(Weather_Site!J16+1)^1.5+Weather_Site!I16-1)&gt;10, 10,0.191*(Weather_Site!K16+104)*(Weather_Site!J16+1)^1.5/(3.52*(Weather_Site!J16+1)^1.5+Weather_Site!I16-1)))</f>
        <v>8.6999999999999993</v>
      </c>
      <c r="Q18" s="636">
        <f t="shared" si="9"/>
        <v>0.97678030108050951</v>
      </c>
      <c r="R18" s="636">
        <f t="shared" si="10"/>
        <v>0.7771903283413546</v>
      </c>
      <c r="S18" s="635">
        <f t="shared" si="11"/>
        <v>1</v>
      </c>
      <c r="T18" s="706">
        <f t="shared" si="12"/>
        <v>441.16183216224351</v>
      </c>
      <c r="U18" s="707">
        <f t="shared" si="13"/>
        <v>1126.4722905623937</v>
      </c>
      <c r="V18" s="707">
        <f t="shared" si="14"/>
        <v>2526.3827051134617</v>
      </c>
      <c r="W18" s="708">
        <f t="shared" si="15"/>
        <v>1</v>
      </c>
      <c r="X18" s="636">
        <f t="shared" si="16"/>
        <v>0.12148379968747718</v>
      </c>
      <c r="Y18" s="709">
        <f t="shared" si="17"/>
        <v>1296.5387269441289</v>
      </c>
      <c r="Z18" s="635">
        <f t="shared" si="18"/>
        <v>5.7340304580990074</v>
      </c>
      <c r="AA18" s="709">
        <f t="shared" si="19"/>
        <v>161.00470978344535</v>
      </c>
      <c r="AB18" s="741">
        <f t="shared" si="20"/>
        <v>15407.201871852731</v>
      </c>
    </row>
    <row r="19" spans="1:28" x14ac:dyDescent="0.25">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2"/>
        <v>0</v>
      </c>
      <c r="I19" s="710">
        <f t="shared" si="3"/>
        <v>9</v>
      </c>
      <c r="J19" s="413">
        <f>IF(Weather_Site!M17&lt;180,Weather_Site!M17+180,Weather_Site!M17-180)</f>
        <v>148</v>
      </c>
      <c r="K19" s="711">
        <f t="shared" si="4"/>
        <v>5.7140099999999991</v>
      </c>
      <c r="L19" s="711">
        <f t="shared" si="5"/>
        <v>7.0855000000000006</v>
      </c>
      <c r="M19" s="711">
        <f t="shared" si="6"/>
        <v>7.2860900000000006</v>
      </c>
      <c r="N19" s="712">
        <f t="shared" si="7"/>
        <v>7.0855000000000006</v>
      </c>
      <c r="O19" s="713">
        <f t="shared" si="8"/>
        <v>0.77513468521171758</v>
      </c>
      <c r="P19" s="714">
        <f>IF($O$11,Weather_Site!H17,IF(0.191*(Weather_Site!K17+104)*(Weather_Site!J17+1)^1.5/(3.52*(Weather_Site!J17+1)^1.5+Weather_Site!I17-1)&gt;10, 10,0.191*(Weather_Site!K17+104)*(Weather_Site!J17+1)^1.5/(3.52*(Weather_Site!J17+1)^1.5+Weather_Site!I17-1)))</f>
        <v>8.6999999999999993</v>
      </c>
      <c r="Q19" s="713">
        <f t="shared" si="9"/>
        <v>0.97678030108050951</v>
      </c>
      <c r="R19" s="713">
        <f t="shared" si="10"/>
        <v>0.75713629119904746</v>
      </c>
      <c r="S19" s="711">
        <f t="shared" si="11"/>
        <v>1</v>
      </c>
      <c r="T19" s="715">
        <f t="shared" si="12"/>
        <v>364.32765060143038</v>
      </c>
      <c r="U19" s="716">
        <f t="shared" si="13"/>
        <v>953.76778638211624</v>
      </c>
      <c r="V19" s="716">
        <f t="shared" si="14"/>
        <v>2010.2301128676545</v>
      </c>
      <c r="W19" s="717">
        <f t="shared" si="15"/>
        <v>1</v>
      </c>
      <c r="X19" s="713">
        <f t="shared" si="16"/>
        <v>1.8112514937782431E-2</v>
      </c>
      <c r="Y19" s="718">
        <f t="shared" si="17"/>
        <v>972.90297605179001</v>
      </c>
      <c r="Z19" s="711">
        <f t="shared" si="18"/>
        <v>4.6589747345144348</v>
      </c>
      <c r="AA19" s="718">
        <f t="shared" si="19"/>
        <v>139.96992807328508</v>
      </c>
      <c r="AB19" s="742">
        <f t="shared" si="20"/>
        <v>11561.330365415441</v>
      </c>
    </row>
    <row r="20" spans="1:28" x14ac:dyDescent="0.25">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83" si="21">C$4</f>
        <v>0</v>
      </c>
      <c r="I20" s="413">
        <f t="shared" si="3"/>
        <v>14</v>
      </c>
      <c r="J20" s="413">
        <f>IF(Weather_Site!M18&lt;180,Weather_Site!M18+180,Weather_Site!M18-180)</f>
        <v>148</v>
      </c>
      <c r="K20" s="711">
        <f t="shared" si="4"/>
        <v>6.1751700000000005</v>
      </c>
      <c r="L20" s="711">
        <f t="shared" si="5"/>
        <v>7.6905999999999999</v>
      </c>
      <c r="M20" s="711">
        <f t="shared" si="6"/>
        <v>8.0003299999999999</v>
      </c>
      <c r="N20" s="711">
        <f t="shared" si="7"/>
        <v>7.6905999999999999</v>
      </c>
      <c r="O20" s="713">
        <f t="shared" si="8"/>
        <v>0.72021216627089601</v>
      </c>
      <c r="P20" s="711">
        <f>IF($O$11,Weather_Site!H18,IF(0.191*(Weather_Site!K18+104)*(Weather_Site!J18+1)^1.5/(3.52*(Weather_Site!J18+1)^1.5+Weather_Site!I18-1)&gt;10, 10,0.191*(Weather_Site!K18+104)*(Weather_Site!J18+1)^1.5/(3.52*(Weather_Site!J18+1)^1.5+Weather_Site!I18-1)))</f>
        <v>8.6999999999999993</v>
      </c>
      <c r="Q20" s="713">
        <f t="shared" si="9"/>
        <v>0.97678030108050951</v>
      </c>
      <c r="R20" s="713">
        <f t="shared" si="10"/>
        <v>0.70348905661193173</v>
      </c>
      <c r="S20" s="711">
        <f t="shared" si="11"/>
        <v>1</v>
      </c>
      <c r="T20" s="716">
        <f t="shared" si="12"/>
        <v>518.75883475802777</v>
      </c>
      <c r="U20" s="716">
        <f t="shared" si="13"/>
        <v>1276.3326901793841</v>
      </c>
      <c r="V20" s="716">
        <f t="shared" si="14"/>
        <v>3161.6838924287608</v>
      </c>
      <c r="W20" s="717">
        <f t="shared" si="15"/>
        <v>1</v>
      </c>
      <c r="X20" s="713">
        <f t="shared" si="16"/>
        <v>0.26736023466595271</v>
      </c>
      <c r="Y20" s="716">
        <f t="shared" si="17"/>
        <v>1780.4006300405135</v>
      </c>
      <c r="Z20" s="711">
        <f t="shared" si="18"/>
        <v>7.2117457828743321</v>
      </c>
      <c r="AA20" s="716">
        <f t="shared" si="19"/>
        <v>173.58246529526883</v>
      </c>
      <c r="AB20" s="716">
        <f t="shared" si="20"/>
        <v>21157.094153648104</v>
      </c>
    </row>
    <row r="21" spans="1:28" x14ac:dyDescent="0.25">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1"/>
        <v>0</v>
      </c>
      <c r="I21" s="413">
        <f t="shared" si="3"/>
        <v>14.333333333333334</v>
      </c>
      <c r="J21" s="413">
        <f>IF(Weather_Site!M19&lt;180,Weather_Site!M19+180,Weather_Site!M19-180)</f>
        <v>146</v>
      </c>
      <c r="K21" s="711">
        <f t="shared" si="4"/>
        <v>6.5682299999999998</v>
      </c>
      <c r="L21" s="711">
        <f t="shared" si="5"/>
        <v>8.2224000000000004</v>
      </c>
      <c r="M21" s="711">
        <f t="shared" si="6"/>
        <v>8.624270000000001</v>
      </c>
      <c r="N21" s="711">
        <f t="shared" si="7"/>
        <v>8.2224000000000004</v>
      </c>
      <c r="O21" s="713">
        <f t="shared" si="8"/>
        <v>0.67153145064164699</v>
      </c>
      <c r="P21" s="711">
        <f>IF($O$11,Weather_Site!H19,IF(0.191*(Weather_Site!K19+104)*(Weather_Site!J19+1)^1.5/(3.52*(Weather_Site!J19+1)^1.5+Weather_Site!I19-1)&gt;10, 10,0.191*(Weather_Site!K19+104)*(Weather_Site!J19+1)^1.5/(3.52*(Weather_Site!J19+1)^1.5+Weather_Site!I19-1)))</f>
        <v>8.6999999999999993</v>
      </c>
      <c r="Q21" s="713">
        <f t="shared" si="9"/>
        <v>0.97678030108050951</v>
      </c>
      <c r="R21" s="713">
        <f t="shared" si="10"/>
        <v>0.65593869254277926</v>
      </c>
      <c r="S21" s="711">
        <f t="shared" si="11"/>
        <v>1</v>
      </c>
      <c r="T21" s="716">
        <f t="shared" si="12"/>
        <v>494.70522064688987</v>
      </c>
      <c r="U21" s="716">
        <f t="shared" si="13"/>
        <v>1213.4102497386261</v>
      </c>
      <c r="V21" s="716">
        <f t="shared" si="14"/>
        <v>3031.7838669832208</v>
      </c>
      <c r="W21" s="717">
        <f t="shared" si="15"/>
        <v>1</v>
      </c>
      <c r="X21" s="713">
        <f t="shared" si="16"/>
        <v>0.1201725544664335</v>
      </c>
      <c r="Y21" s="716">
        <f t="shared" si="17"/>
        <v>1431.9288522972779</v>
      </c>
      <c r="Z21" s="711">
        <f t="shared" si="18"/>
        <v>6.1609443332805283</v>
      </c>
      <c r="AA21" s="716">
        <f t="shared" si="19"/>
        <v>136.67094760978867</v>
      </c>
      <c r="AB21" s="716">
        <f t="shared" si="20"/>
        <v>17016.087861465985</v>
      </c>
    </row>
    <row r="22" spans="1:28" x14ac:dyDescent="0.25">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1"/>
        <v>0</v>
      </c>
      <c r="I22" s="413">
        <f t="shared" si="3"/>
        <v>15</v>
      </c>
      <c r="J22" s="413">
        <f>IF(Weather_Site!M20&lt;180,Weather_Site!M20+180,Weather_Site!M20-180)</f>
        <v>112</v>
      </c>
      <c r="K22" s="711">
        <f t="shared" si="4"/>
        <v>7.0518299999999998</v>
      </c>
      <c r="L22" s="711">
        <f t="shared" si="5"/>
        <v>8.8815000000000008</v>
      </c>
      <c r="M22" s="711">
        <f t="shared" si="6"/>
        <v>9.396469999999999</v>
      </c>
      <c r="N22" s="711">
        <f t="shared" si="7"/>
        <v>8.8815000000000008</v>
      </c>
      <c r="O22" s="713">
        <f t="shared" si="8"/>
        <v>0.61171780390758079</v>
      </c>
      <c r="P22" s="711">
        <f>IF($O$11,Weather_Site!H20,IF(0.191*(Weather_Site!K20+104)*(Weather_Site!J20+1)^1.5/(3.52*(Weather_Site!J20+1)^1.5+Weather_Site!I20-1)&gt;10, 10,0.191*(Weather_Site!K20+104)*(Weather_Site!J20+1)^1.5/(3.52*(Weather_Site!J20+1)^1.5+Weather_Site!I20-1)))</f>
        <v>8.6999999999999993</v>
      </c>
      <c r="Q22" s="713">
        <f t="shared" si="9"/>
        <v>0.97678030108050951</v>
      </c>
      <c r="R22" s="713">
        <f t="shared" si="10"/>
        <v>0.59751390067715482</v>
      </c>
      <c r="S22" s="711">
        <f t="shared" si="11"/>
        <v>1</v>
      </c>
      <c r="T22" s="716">
        <f t="shared" si="12"/>
        <v>470.64610115900348</v>
      </c>
      <c r="U22" s="716">
        <f t="shared" si="13"/>
        <v>1147.611506261359</v>
      </c>
      <c r="V22" s="716">
        <f t="shared" si="14"/>
        <v>2915.4372788014975</v>
      </c>
      <c r="W22" s="717">
        <f t="shared" si="15"/>
        <v>1</v>
      </c>
      <c r="X22" s="713">
        <f t="shared" si="16"/>
        <v>4.8768634842995637E-2</v>
      </c>
      <c r="Y22" s="716">
        <f t="shared" si="17"/>
        <v>1233.8259558284058</v>
      </c>
      <c r="Z22" s="711">
        <f t="shared" si="18"/>
        <v>5.5321335405917544</v>
      </c>
      <c r="AA22" s="716">
        <f t="shared" si="19"/>
        <v>113.0084224059723</v>
      </c>
      <c r="AB22" s="716">
        <f t="shared" si="20"/>
        <v>14661.965108427557</v>
      </c>
    </row>
    <row r="23" spans="1:28" x14ac:dyDescent="0.25">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1"/>
        <v>0</v>
      </c>
      <c r="I23" s="413">
        <f t="shared" si="3"/>
        <v>13.333333333333334</v>
      </c>
      <c r="J23" s="413">
        <f>IF(Weather_Site!M21&lt;180,Weather_Site!M21+180,Weather_Site!M21-180)</f>
        <v>105</v>
      </c>
      <c r="K23" s="711">
        <f t="shared" si="4"/>
        <v>6.9526300000000001</v>
      </c>
      <c r="L23" s="711">
        <f t="shared" si="5"/>
        <v>8.7463000000000015</v>
      </c>
      <c r="M23" s="711">
        <f t="shared" si="6"/>
        <v>9.2380700000000004</v>
      </c>
      <c r="N23" s="711">
        <f t="shared" si="7"/>
        <v>6.9526300000000001</v>
      </c>
      <c r="O23" s="713">
        <f t="shared" si="8"/>
        <v>0.78702663261644168</v>
      </c>
      <c r="P23" s="711">
        <f>IF($O$11,Weather_Site!H21,IF(0.191*(Weather_Site!K21+104)*(Weather_Site!J21+1)^1.5/(3.52*(Weather_Site!J21+1)^1.5+Weather_Site!I21-1)&gt;10, 10,0.191*(Weather_Site!K21+104)*(Weather_Site!J21+1)^1.5/(3.52*(Weather_Site!J21+1)^1.5+Weather_Site!I21-1)))</f>
        <v>8.8000000000000007</v>
      </c>
      <c r="Q23" s="713">
        <f t="shared" si="9"/>
        <v>0.97947601629684489</v>
      </c>
      <c r="R23" s="713">
        <f t="shared" si="10"/>
        <v>0.77087371083467282</v>
      </c>
      <c r="S23" s="711">
        <f t="shared" si="11"/>
        <v>1</v>
      </c>
      <c r="T23" s="716">
        <f t="shared" si="12"/>
        <v>542.4953014950645</v>
      </c>
      <c r="U23" s="716">
        <f t="shared" si="13"/>
        <v>1343.3648780528101</v>
      </c>
      <c r="V23" s="716">
        <f t="shared" si="14"/>
        <v>3268.9023521035847</v>
      </c>
      <c r="W23" s="717">
        <f t="shared" si="15"/>
        <v>1</v>
      </c>
      <c r="X23" s="713">
        <f t="shared" si="16"/>
        <v>0.55295010985513227</v>
      </c>
      <c r="Y23" s="716">
        <f t="shared" si="17"/>
        <v>2408.0910358593601</v>
      </c>
      <c r="Z23" s="711">
        <f t="shared" si="18"/>
        <v>8.9715109428195063</v>
      </c>
      <c r="AA23" s="716">
        <f t="shared" si="19"/>
        <v>245.32304766293399</v>
      </c>
      <c r="AB23" s="716">
        <f t="shared" si="20"/>
        <v>28616.148476128728</v>
      </c>
    </row>
    <row r="24" spans="1:28"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1"/>
        <v>0</v>
      </c>
      <c r="I24" s="27">
        <f t="shared" si="3"/>
        <v>14</v>
      </c>
      <c r="J24" s="739">
        <f>IF(Weather_Site!M22&lt;180,Weather_Site!M22+180,Weather_Site!M22-180)</f>
        <v>97</v>
      </c>
      <c r="K24" s="635">
        <f t="shared" si="4"/>
        <v>6.6232399999999991</v>
      </c>
      <c r="L24" s="635">
        <f t="shared" si="5"/>
        <v>8.2642000000000007</v>
      </c>
      <c r="M24" s="635">
        <f t="shared" si="6"/>
        <v>8.6807599999999994</v>
      </c>
      <c r="N24" s="635">
        <f t="shared" si="7"/>
        <v>6.6232399999999991</v>
      </c>
      <c r="O24" s="636">
        <f t="shared" si="8"/>
        <v>0.81610475578061037</v>
      </c>
      <c r="P24" s="635">
        <f>IF($O$11,Weather_Site!H22,IF(0.191*(Weather_Site!K22+104)*(Weather_Site!J22+1)^1.5/(3.52*(Weather_Site!J22+1)^1.5+Weather_Site!I22-1)&gt;10, 10,0.191*(Weather_Site!K22+104)*(Weather_Site!J22+1)^1.5/(3.52*(Weather_Site!J22+1)^1.5+Weather_Site!I22-1)))</f>
        <v>8.8000000000000007</v>
      </c>
      <c r="Q24" s="636">
        <f t="shared" si="9"/>
        <v>0.97947601629684489</v>
      </c>
      <c r="R24" s="636">
        <f t="shared" si="10"/>
        <v>0.79935503507290173</v>
      </c>
      <c r="S24" s="635">
        <f t="shared" si="11"/>
        <v>1</v>
      </c>
      <c r="T24" s="707">
        <f t="shared" si="12"/>
        <v>589.45122550943711</v>
      </c>
      <c r="U24" s="707">
        <f t="shared" si="13"/>
        <v>1450.2613121469394</v>
      </c>
      <c r="V24" s="707">
        <f t="shared" si="14"/>
        <v>3592.5334089681069</v>
      </c>
      <c r="W24" s="708">
        <f t="shared" si="15"/>
        <v>1</v>
      </c>
      <c r="X24" s="636">
        <f t="shared" si="16"/>
        <v>0.82752508273691117</v>
      </c>
      <c r="Y24" s="707">
        <f t="shared" si="17"/>
        <v>3223.0452063138523</v>
      </c>
      <c r="Z24" s="635">
        <f t="shared" si="18"/>
        <v>11.07624844871026</v>
      </c>
      <c r="AA24" s="707">
        <f t="shared" si="19"/>
        <v>314.23496668686647</v>
      </c>
      <c r="AB24" s="707">
        <f t="shared" si="20"/>
        <v>38300.520535029609</v>
      </c>
    </row>
    <row r="25" spans="1:28"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1"/>
        <v>0</v>
      </c>
      <c r="I25" s="27">
        <f t="shared" si="3"/>
        <v>12.333333333333334</v>
      </c>
      <c r="J25" s="739">
        <f>IF(Weather_Site!M23&lt;180,Weather_Site!M23+180,Weather_Site!M23-180)</f>
        <v>78</v>
      </c>
      <c r="K25" s="635">
        <f t="shared" si="4"/>
        <v>5.886029999999999</v>
      </c>
      <c r="L25" s="635">
        <f t="shared" si="5"/>
        <v>7.2536000000000005</v>
      </c>
      <c r="M25" s="635">
        <f t="shared" si="6"/>
        <v>7.4980699999999993</v>
      </c>
      <c r="N25" s="635">
        <f t="shared" si="7"/>
        <v>5.886029999999999</v>
      </c>
      <c r="O25" s="636">
        <f t="shared" si="8"/>
        <v>0.87822662954612007</v>
      </c>
      <c r="P25" s="635">
        <f>IF($O$11,Weather_Site!H23,IF(0.191*(Weather_Site!K23+104)*(Weather_Site!J23+1)^1.5/(3.52*(Weather_Site!J23+1)^1.5+Weather_Site!I23-1)&gt;10, 10,0.191*(Weather_Site!K23+104)*(Weather_Site!J23+1)^1.5/(3.52*(Weather_Site!J23+1)^1.5+Weather_Site!I23-1)))</f>
        <v>8.8000000000000007</v>
      </c>
      <c r="Q25" s="636">
        <f t="shared" si="9"/>
        <v>0.97947601629684489</v>
      </c>
      <c r="R25" s="636">
        <f t="shared" si="10"/>
        <v>0.86020192051363864</v>
      </c>
      <c r="S25" s="635">
        <f t="shared" si="11"/>
        <v>1</v>
      </c>
      <c r="T25" s="707">
        <f t="shared" si="12"/>
        <v>561.69854699786072</v>
      </c>
      <c r="U25" s="707">
        <f t="shared" si="13"/>
        <v>1405.577283414297</v>
      </c>
      <c r="V25" s="707">
        <f t="shared" si="14"/>
        <v>3324.1793223952241</v>
      </c>
      <c r="W25" s="708">
        <f t="shared" si="15"/>
        <v>1</v>
      </c>
      <c r="X25" s="636">
        <f t="shared" si="16"/>
        <v>0.84913724228677201</v>
      </c>
      <c r="Y25" s="707">
        <f t="shared" si="17"/>
        <v>3034.7337278403393</v>
      </c>
      <c r="Z25" s="635">
        <f t="shared" si="18"/>
        <v>10.60447741119768</v>
      </c>
      <c r="AA25" s="707">
        <f t="shared" si="19"/>
        <v>331.49099137505345</v>
      </c>
      <c r="AB25" s="707">
        <f t="shared" si="20"/>
        <v>36062.752465836034</v>
      </c>
    </row>
    <row r="26" spans="1:28"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1"/>
        <v>0</v>
      </c>
      <c r="I26" s="27">
        <f t="shared" si="3"/>
        <v>12.333333333333334</v>
      </c>
      <c r="J26" s="739">
        <f>IF(Weather_Site!M24&lt;180,Weather_Site!M24+180,Weather_Site!M24-180)</f>
        <v>81</v>
      </c>
      <c r="K26" s="635">
        <f t="shared" si="4"/>
        <v>5.2665199999999999</v>
      </c>
      <c r="L26" s="635">
        <f t="shared" si="5"/>
        <v>6.3839000000000006</v>
      </c>
      <c r="M26" s="635">
        <f t="shared" si="6"/>
        <v>6.4848800000000013</v>
      </c>
      <c r="N26" s="635">
        <f t="shared" si="7"/>
        <v>5.2665199999999999</v>
      </c>
      <c r="O26" s="636">
        <f t="shared" si="8"/>
        <v>0.9258573919526869</v>
      </c>
      <c r="P26" s="635">
        <f>IF($O$11,Weather_Site!H24,IF(0.191*(Weather_Site!K24+104)*(Weather_Site!J24+1)^1.5/(3.52*(Weather_Site!J24+1)^1.5+Weather_Site!I24-1)&gt;10, 10,0.191*(Weather_Site!K24+104)*(Weather_Site!J24+1)^1.5/(3.52*(Weather_Site!J24+1)^1.5+Weather_Site!I24-1)))</f>
        <v>8.8000000000000007</v>
      </c>
      <c r="Q26" s="636">
        <f t="shared" si="9"/>
        <v>0.97947601629684489</v>
      </c>
      <c r="R26" s="636">
        <f t="shared" si="10"/>
        <v>0.90685510992880425</v>
      </c>
      <c r="S26" s="635">
        <f t="shared" si="11"/>
        <v>1</v>
      </c>
      <c r="T26" s="707">
        <f t="shared" si="12"/>
        <v>592.1623579733897</v>
      </c>
      <c r="U26" s="707">
        <f t="shared" si="13"/>
        <v>1481.8089932919331</v>
      </c>
      <c r="V26" s="707">
        <f t="shared" si="14"/>
        <v>3504.4667222246485</v>
      </c>
      <c r="W26" s="708">
        <f t="shared" si="15"/>
        <v>1</v>
      </c>
      <c r="X26" s="636">
        <f t="shared" si="16"/>
        <v>0.95173500628232965</v>
      </c>
      <c r="Y26" s="707">
        <f t="shared" si="17"/>
        <v>3406.843159644714</v>
      </c>
      <c r="Z26" s="635">
        <f t="shared" si="18"/>
        <v>11.529399322643824</v>
      </c>
      <c r="AA26" s="707">
        <f t="shared" si="19"/>
        <v>372.13736615160502</v>
      </c>
      <c r="AB26" s="707">
        <f t="shared" si="20"/>
        <v>40484.652880444679</v>
      </c>
    </row>
    <row r="27" spans="1:28"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1"/>
        <v>0</v>
      </c>
      <c r="I27" s="27">
        <f t="shared" si="3"/>
        <v>11.333333333333334</v>
      </c>
      <c r="J27" s="739">
        <f>IF(Weather_Site!M25&lt;180,Weather_Site!M25+180,Weather_Site!M25-180)</f>
        <v>63</v>
      </c>
      <c r="K27" s="635">
        <f t="shared" si="4"/>
        <v>4.9459900000000001</v>
      </c>
      <c r="L27" s="635">
        <f t="shared" si="5"/>
        <v>5.9489999999999998</v>
      </c>
      <c r="M27" s="635">
        <f t="shared" si="6"/>
        <v>5.9749100000000004</v>
      </c>
      <c r="N27" s="635">
        <f t="shared" si="7"/>
        <v>4.9459900000000001</v>
      </c>
      <c r="O27" s="636">
        <f t="shared" si="8"/>
        <v>0.94832349606667909</v>
      </c>
      <c r="P27" s="635">
        <f>IF($O$11,Weather_Site!H25,IF(0.191*(Weather_Site!K25+104)*(Weather_Site!J25+1)^1.5/(3.52*(Weather_Site!J25+1)^1.5+Weather_Site!I25-1)&gt;10, 10,0.191*(Weather_Site!K25+104)*(Weather_Site!J25+1)^1.5/(3.52*(Weather_Site!J25+1)^1.5+Weather_Site!I25-1)))</f>
        <v>8.8000000000000007</v>
      </c>
      <c r="Q27" s="636">
        <f t="shared" si="9"/>
        <v>0.97947601629684489</v>
      </c>
      <c r="R27" s="636">
        <f t="shared" si="10"/>
        <v>0.92886012008808749</v>
      </c>
      <c r="S27" s="635">
        <f t="shared" si="11"/>
        <v>1</v>
      </c>
      <c r="T27" s="707">
        <f t="shared" si="12"/>
        <v>559.07770707334487</v>
      </c>
      <c r="U27" s="707">
        <f t="shared" si="13"/>
        <v>1415.4123621230087</v>
      </c>
      <c r="V27" s="707">
        <f t="shared" si="14"/>
        <v>3245.5418045535039</v>
      </c>
      <c r="W27" s="708">
        <f t="shared" si="15"/>
        <v>1</v>
      </c>
      <c r="X27" s="636">
        <f t="shared" si="16"/>
        <v>0.93629273373759747</v>
      </c>
      <c r="Y27" s="707">
        <f t="shared" si="17"/>
        <v>3128.949260869922</v>
      </c>
      <c r="Z27" s="635">
        <f t="shared" si="18"/>
        <v>10.841496006921197</v>
      </c>
      <c r="AA27" s="707">
        <f t="shared" si="19"/>
        <v>368.38905303639467</v>
      </c>
      <c r="AB27" s="707">
        <f t="shared" si="20"/>
        <v>37182.347050004239</v>
      </c>
    </row>
    <row r="28" spans="1:28"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1"/>
        <v>0</v>
      </c>
      <c r="I28" s="27">
        <f t="shared" si="3"/>
        <v>12.333333333333334</v>
      </c>
      <c r="J28" s="739">
        <f>IF(Weather_Site!M26&lt;180,Weather_Site!M26+180,Weather_Site!M26-180)</f>
        <v>57</v>
      </c>
      <c r="K28" s="635">
        <f t="shared" si="4"/>
        <v>4.8760200000000005</v>
      </c>
      <c r="L28" s="635">
        <f t="shared" si="5"/>
        <v>5.8712</v>
      </c>
      <c r="M28" s="635">
        <f t="shared" si="6"/>
        <v>5.8797800000000002</v>
      </c>
      <c r="N28" s="635">
        <f t="shared" si="7"/>
        <v>5.8712</v>
      </c>
      <c r="O28" s="636">
        <f t="shared" si="8"/>
        <v>0.87942258488667746</v>
      </c>
      <c r="P28" s="635">
        <f>IF($O$11,Weather_Site!H26,IF(0.191*(Weather_Site!K26+104)*(Weather_Site!J26+1)^1.5/(3.52*(Weather_Site!J26+1)^1.5+Weather_Site!I26-1)&gt;10, 10,0.191*(Weather_Site!K26+104)*(Weather_Site!J26+1)^1.5/(3.52*(Weather_Site!J26+1)^1.5+Weather_Site!I26-1)))</f>
        <v>8.8000000000000007</v>
      </c>
      <c r="Q28" s="636">
        <f t="shared" si="9"/>
        <v>0.97947601629684489</v>
      </c>
      <c r="R28" s="636">
        <f t="shared" si="10"/>
        <v>0.8613733300862767</v>
      </c>
      <c r="S28" s="635">
        <f t="shared" si="11"/>
        <v>1</v>
      </c>
      <c r="T28" s="707">
        <f t="shared" si="12"/>
        <v>562.4634593273953</v>
      </c>
      <c r="U28" s="707">
        <f t="shared" si="13"/>
        <v>1407.4913766586958</v>
      </c>
      <c r="V28" s="707">
        <f t="shared" si="14"/>
        <v>3328.7061380027667</v>
      </c>
      <c r="W28" s="708">
        <f t="shared" si="15"/>
        <v>1</v>
      </c>
      <c r="X28" s="636">
        <f t="shared" si="16"/>
        <v>0.85312573367927902</v>
      </c>
      <c r="Y28" s="707">
        <f t="shared" si="17"/>
        <v>3046.5291294858175</v>
      </c>
      <c r="Z28" s="635">
        <f t="shared" si="18"/>
        <v>10.634261632074232</v>
      </c>
      <c r="AA28" s="707">
        <f t="shared" si="19"/>
        <v>332.77943040654276</v>
      </c>
      <c r="AB28" s="707">
        <f t="shared" si="20"/>
        <v>36202.921155389799</v>
      </c>
    </row>
    <row r="29" spans="1:28" x14ac:dyDescent="0.25">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1"/>
        <v>0</v>
      </c>
      <c r="I29" s="413">
        <f t="shared" si="3"/>
        <v>12.333333333333334</v>
      </c>
      <c r="J29" s="413">
        <f>IF(Weather_Site!M27&lt;180,Weather_Site!M27+180,Weather_Site!M27-180)</f>
        <v>46</v>
      </c>
      <c r="K29" s="711">
        <f t="shared" si="4"/>
        <v>4.9003300000000003</v>
      </c>
      <c r="L29" s="711">
        <f t="shared" si="5"/>
        <v>5.9297000000000004</v>
      </c>
      <c r="M29" s="711">
        <f t="shared" si="6"/>
        <v>5.9425700000000008</v>
      </c>
      <c r="N29" s="711">
        <f t="shared" si="7"/>
        <v>5.9297000000000004</v>
      </c>
      <c r="O29" s="713">
        <f t="shared" si="8"/>
        <v>0.87469079854630616</v>
      </c>
      <c r="P29" s="711">
        <f>IF($O$11,Weather_Site!H27,IF(0.191*(Weather_Site!K27+104)*(Weather_Site!J27+1)^1.5/(3.52*(Weather_Site!J27+1)^1.5+Weather_Site!I27-1)&gt;10, 10,0.191*(Weather_Site!K27+104)*(Weather_Site!J27+1)^1.5/(3.52*(Weather_Site!J27+1)^1.5+Weather_Site!I27-1)))</f>
        <v>8.8000000000000007</v>
      </c>
      <c r="Q29" s="713">
        <f t="shared" si="9"/>
        <v>0.97947601629684489</v>
      </c>
      <c r="R29" s="713">
        <f t="shared" si="10"/>
        <v>0.85673865885164202</v>
      </c>
      <c r="S29" s="711">
        <f t="shared" si="11"/>
        <v>1</v>
      </c>
      <c r="T29" s="716">
        <f t="shared" si="12"/>
        <v>559.43709070832426</v>
      </c>
      <c r="U29" s="716">
        <f t="shared" si="13"/>
        <v>1399.9182842856792</v>
      </c>
      <c r="V29" s="716">
        <f t="shared" si="14"/>
        <v>3310.7958335534659</v>
      </c>
      <c r="W29" s="717">
        <f t="shared" si="15"/>
        <v>1</v>
      </c>
      <c r="X29" s="713">
        <f t="shared" si="16"/>
        <v>0.83682349122763144</v>
      </c>
      <c r="Y29" s="716">
        <f t="shared" si="17"/>
        <v>2998.985506372449</v>
      </c>
      <c r="Z29" s="711">
        <f t="shared" si="18"/>
        <v>10.514014000762806</v>
      </c>
      <c r="AA29" s="716">
        <f t="shared" si="19"/>
        <v>327.58613037668204</v>
      </c>
      <c r="AB29" s="716">
        <f t="shared" si="20"/>
        <v>35637.944434059274</v>
      </c>
    </row>
    <row r="30" spans="1:28" x14ac:dyDescent="0.25">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1"/>
        <v>0</v>
      </c>
      <c r="I30" s="413">
        <f t="shared" si="3"/>
        <v>11</v>
      </c>
      <c r="J30" s="413">
        <f>IF(Weather_Site!M28&lt;180,Weather_Site!M28+180,Weather_Site!M28-180)</f>
        <v>35</v>
      </c>
      <c r="K30" s="711">
        <f t="shared" si="4"/>
        <v>5.4257600000000004</v>
      </c>
      <c r="L30" s="711">
        <f t="shared" si="5"/>
        <v>6.7024000000000008</v>
      </c>
      <c r="M30" s="711">
        <f t="shared" si="6"/>
        <v>6.8350400000000011</v>
      </c>
      <c r="N30" s="711">
        <f t="shared" si="7"/>
        <v>6.8350400000000011</v>
      </c>
      <c r="O30" s="713">
        <f t="shared" si="8"/>
        <v>0.79747877195559513</v>
      </c>
      <c r="P30" s="711">
        <f>IF($O$11,Weather_Site!H28,IF(0.191*(Weather_Site!K28+104)*(Weather_Site!J28+1)^1.5/(3.52*(Weather_Site!J28+1)^1.5+Weather_Site!I28-1)&gt;10, 10,0.191*(Weather_Site!K28+104)*(Weather_Site!J28+1)^1.5/(3.52*(Weather_Site!J28+1)^1.5+Weather_Site!I28-1)))</f>
        <v>8.8000000000000007</v>
      </c>
      <c r="Q30" s="713">
        <f t="shared" si="9"/>
        <v>0.97947601629684489</v>
      </c>
      <c r="R30" s="713">
        <f t="shared" si="10"/>
        <v>0.7811113306363664</v>
      </c>
      <c r="S30" s="711">
        <f t="shared" si="11"/>
        <v>1</v>
      </c>
      <c r="T30" s="716">
        <f t="shared" si="12"/>
        <v>456.78432160239777</v>
      </c>
      <c r="U30" s="716">
        <f t="shared" si="13"/>
        <v>1161.2896431864756</v>
      </c>
      <c r="V30" s="716">
        <f t="shared" si="14"/>
        <v>2633.9341307149075</v>
      </c>
      <c r="W30" s="717">
        <f t="shared" si="15"/>
        <v>1</v>
      </c>
      <c r="X30" s="713">
        <f t="shared" si="16"/>
        <v>0.1710813611171646</v>
      </c>
      <c r="Y30" s="716">
        <f t="shared" si="17"/>
        <v>1413.2316665545291</v>
      </c>
      <c r="Z30" s="711">
        <f t="shared" si="18"/>
        <v>6.102676420462962</v>
      </c>
      <c r="AA30" s="716">
        <f t="shared" si="19"/>
        <v>170.82044028363018</v>
      </c>
      <c r="AB30" s="716">
        <f t="shared" si="20"/>
        <v>16793.902970889652</v>
      </c>
    </row>
    <row r="31" spans="1:28" x14ac:dyDescent="0.25">
      <c r="A31" s="67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si="21"/>
        <v>0</v>
      </c>
      <c r="I31" s="413">
        <f t="shared" si="3"/>
        <v>11.333333333333334</v>
      </c>
      <c r="J31" s="413">
        <f>IF(Weather_Site!M29&lt;180,Weather_Site!M29+180,Weather_Site!M29-180)</f>
        <v>30</v>
      </c>
      <c r="K31" s="711">
        <f t="shared" si="4"/>
        <v>5.49918</v>
      </c>
      <c r="L31" s="711">
        <f t="shared" si="5"/>
        <v>6.8532000000000002</v>
      </c>
      <c r="M31" s="711">
        <f t="shared" si="6"/>
        <v>7.0002200000000014</v>
      </c>
      <c r="N31" s="711">
        <f t="shared" si="7"/>
        <v>7.0002200000000014</v>
      </c>
      <c r="O31" s="713">
        <f t="shared" si="8"/>
        <v>0.78277665831395427</v>
      </c>
      <c r="P31" s="711">
        <f>IF($O$11,Weather_Site!H29,IF(0.191*(Weather_Site!K29+104)*(Weather_Site!J29+1)^1.5/(3.52*(Weather_Site!J29+1)^1.5+Weather_Site!I29-1)&gt;10, 10,0.191*(Weather_Site!K29+104)*(Weather_Site!J29+1)^1.5/(3.52*(Weather_Site!J29+1)^1.5+Weather_Site!I29-1)))</f>
        <v>8.8000000000000007</v>
      </c>
      <c r="Q31" s="713">
        <f t="shared" si="9"/>
        <v>0.97947601629684489</v>
      </c>
      <c r="R31" s="713">
        <f t="shared" si="10"/>
        <v>0.76671096293550844</v>
      </c>
      <c r="S31" s="711">
        <f t="shared" si="11"/>
        <v>1</v>
      </c>
      <c r="T31" s="716">
        <f t="shared" si="12"/>
        <v>461.48068786216135</v>
      </c>
      <c r="U31" s="716">
        <f t="shared" si="13"/>
        <v>1168.3268036216687</v>
      </c>
      <c r="V31" s="716">
        <f t="shared" si="14"/>
        <v>2678.9743992676536</v>
      </c>
      <c r="W31" s="713">
        <f t="shared" si="15"/>
        <v>1</v>
      </c>
      <c r="X31" s="713">
        <f t="shared" si="16"/>
        <v>0.15844156417109964</v>
      </c>
      <c r="Y31" s="716">
        <f t="shared" si="17"/>
        <v>1407.6761715871294</v>
      </c>
      <c r="Z31" s="711">
        <f t="shared" si="18"/>
        <v>6.0853222114792134</v>
      </c>
      <c r="AA31" s="716">
        <f t="shared" si="19"/>
        <v>165.73374912724043</v>
      </c>
      <c r="AB31" s="716">
        <f t="shared" si="20"/>
        <v>16727.885172360388</v>
      </c>
    </row>
    <row r="32" spans="1:28" x14ac:dyDescent="0.25">
      <c r="A32" s="67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1"/>
        <v>0</v>
      </c>
      <c r="I32" s="413">
        <f t="shared" si="3"/>
        <v>11</v>
      </c>
      <c r="J32" s="413">
        <f>IF(Weather_Site!M30&lt;180,Weather_Site!M30+180,Weather_Site!M30-180)</f>
        <v>30</v>
      </c>
      <c r="K32" s="711">
        <f t="shared" si="4"/>
        <v>5.9340699999999993</v>
      </c>
      <c r="L32" s="711">
        <f t="shared" si="5"/>
        <v>7.4985999999999997</v>
      </c>
      <c r="M32" s="711">
        <f t="shared" si="6"/>
        <v>7.7444299999999995</v>
      </c>
      <c r="N32" s="711">
        <f t="shared" si="7"/>
        <v>7.7444299999999995</v>
      </c>
      <c r="O32" s="713">
        <f t="shared" si="8"/>
        <v>0.71528875402998504</v>
      </c>
      <c r="P32" s="711">
        <f>IF($O$11,Weather_Site!H30,IF(0.191*(Weather_Site!K30+104)*(Weather_Site!J30+1)^1.5/(3.52*(Weather_Site!J30+1)^1.5+Weather_Site!I30-1)&gt;10, 10,0.191*(Weather_Site!K30+104)*(Weather_Site!J30+1)^1.5/(3.52*(Weather_Site!J30+1)^1.5+Weather_Site!I30-1)))</f>
        <v>8.8000000000000007</v>
      </c>
      <c r="Q32" s="713">
        <f t="shared" si="9"/>
        <v>0.97947601629684489</v>
      </c>
      <c r="R32" s="713">
        <f t="shared" si="10"/>
        <v>0.70060817929922348</v>
      </c>
      <c r="S32" s="711">
        <f t="shared" si="11"/>
        <v>1</v>
      </c>
      <c r="T32" s="716">
        <f t="shared" si="12"/>
        <v>409.70706650684872</v>
      </c>
      <c r="U32" s="716">
        <f t="shared" si="13"/>
        <v>1041.6044303045503</v>
      </c>
      <c r="V32" s="716">
        <f t="shared" si="14"/>
        <v>2362.4747501881129</v>
      </c>
      <c r="W32" s="713">
        <f t="shared" si="15"/>
        <v>1</v>
      </c>
      <c r="X32" s="713">
        <f t="shared" si="16"/>
        <v>2.3171768665391071E-2</v>
      </c>
      <c r="Y32" s="716">
        <f t="shared" si="17"/>
        <v>1072.2113317938733</v>
      </c>
      <c r="Z32" s="711">
        <f t="shared" si="18"/>
        <v>4.9981444999958553</v>
      </c>
      <c r="AA32" s="716">
        <f t="shared" si="19"/>
        <v>129.60055743773552</v>
      </c>
      <c r="AB32" s="716">
        <f t="shared" si="20"/>
        <v>12741.444659483863</v>
      </c>
    </row>
    <row r="33" spans="1:28" x14ac:dyDescent="0.25">
      <c r="A33" s="67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1"/>
        <v>0</v>
      </c>
      <c r="I33" s="413">
        <f t="shared" si="3"/>
        <v>9.6666666666666661</v>
      </c>
      <c r="J33" s="413">
        <f>IF(Weather_Site!M31&lt;180,Weather_Site!M31+180,Weather_Site!M31-180)</f>
        <v>25</v>
      </c>
      <c r="K33" s="711">
        <f t="shared" si="4"/>
        <v>6.2976100000000006</v>
      </c>
      <c r="L33" s="711">
        <f t="shared" si="5"/>
        <v>8.0370000000000008</v>
      </c>
      <c r="M33" s="711">
        <f t="shared" si="6"/>
        <v>8.3654899999999994</v>
      </c>
      <c r="N33" s="711">
        <f t="shared" si="7"/>
        <v>8.3654899999999994</v>
      </c>
      <c r="O33" s="713">
        <f t="shared" si="8"/>
        <v>0.65846199504402303</v>
      </c>
      <c r="P33" s="711">
        <f>IF($O$11,Weather_Site!H31,IF(0.191*(Weather_Site!K31+104)*(Weather_Site!J31+1)^1.5/(3.52*(Weather_Site!J31+1)^1.5+Weather_Site!I31-1)&gt;10, 10,0.191*(Weather_Site!K31+104)*(Weather_Site!J31+1)^1.5/(3.52*(Weather_Site!J31+1)^1.5+Weather_Site!I31-1)))</f>
        <v>8.8000000000000007</v>
      </c>
      <c r="Q33" s="713">
        <f t="shared" si="9"/>
        <v>0.97947601629684489</v>
      </c>
      <c r="R33" s="713">
        <f t="shared" si="10"/>
        <v>0.64494773178859255</v>
      </c>
      <c r="S33" s="711">
        <f t="shared" si="11"/>
        <v>1</v>
      </c>
      <c r="T33" s="716">
        <f t="shared" si="12"/>
        <v>332.73833767742468</v>
      </c>
      <c r="U33" s="716">
        <f t="shared" si="13"/>
        <v>861.82237019353465</v>
      </c>
      <c r="V33" s="716">
        <f t="shared" si="14"/>
        <v>1864.5184821106634</v>
      </c>
      <c r="W33" s="713">
        <f t="shared" si="15"/>
        <v>1</v>
      </c>
      <c r="X33" s="713">
        <f t="shared" si="16"/>
        <v>1.6299712120916776E-3</v>
      </c>
      <c r="Y33" s="716">
        <f t="shared" si="17"/>
        <v>863.45673599043585</v>
      </c>
      <c r="Z33" s="711">
        <f t="shared" si="18"/>
        <v>4.2738376874720183</v>
      </c>
      <c r="AA33" s="716">
        <f t="shared" si="19"/>
        <v>116.81594458445204</v>
      </c>
      <c r="AB33" s="716">
        <f t="shared" si="20"/>
        <v>10260.744212686346</v>
      </c>
    </row>
    <row r="34" spans="1:28"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1"/>
        <v>0</v>
      </c>
      <c r="I34" s="27">
        <f t="shared" si="3"/>
        <v>8</v>
      </c>
      <c r="J34" s="739">
        <f>IF(Weather_Site!M32&lt;180,Weather_Site!M32+180,Weather_Site!M32-180)</f>
        <v>23</v>
      </c>
      <c r="K34" s="635">
        <f t="shared" si="4"/>
        <v>6.4241699999999993</v>
      </c>
      <c r="L34" s="635">
        <f t="shared" si="5"/>
        <v>8.2250999999999994</v>
      </c>
      <c r="M34" s="635">
        <f t="shared" si="6"/>
        <v>8.5823300000000007</v>
      </c>
      <c r="N34" s="635">
        <f t="shared" si="7"/>
        <v>8.5823300000000007</v>
      </c>
      <c r="O34" s="636">
        <f t="shared" si="8"/>
        <v>0.63872946964178212</v>
      </c>
      <c r="P34" s="635">
        <f>IF($O$11,Weather_Site!H32,IF(0.191*(Weather_Site!K32+104)*(Weather_Site!J32+1)^1.5/(3.52*(Weather_Site!J32+1)^1.5+Weather_Site!I32-1)&gt;10, 10,0.191*(Weather_Site!K32+104)*(Weather_Site!J32+1)^1.5/(3.52*(Weather_Site!J32+1)^1.5+Weather_Site!I32-1)))</f>
        <v>8.8000000000000007</v>
      </c>
      <c r="Q34" s="636">
        <f t="shared" si="9"/>
        <v>0.97947601629684489</v>
      </c>
      <c r="R34" s="636">
        <f t="shared" si="10"/>
        <v>0.62562019641612931</v>
      </c>
      <c r="S34" s="635">
        <f t="shared" si="11"/>
        <v>1</v>
      </c>
      <c r="T34" s="707">
        <f t="shared" si="12"/>
        <v>268.20224325955246</v>
      </c>
      <c r="U34" s="707">
        <f t="shared" si="13"/>
        <v>715.06121194747038</v>
      </c>
      <c r="V34" s="707">
        <f t="shared" si="14"/>
        <v>1443.5954159515466</v>
      </c>
      <c r="W34" s="636">
        <f t="shared" si="15"/>
        <v>1</v>
      </c>
      <c r="X34" s="636">
        <f t="shared" si="16"/>
        <v>2.2203394725235645E-4</v>
      </c>
      <c r="Y34" s="707">
        <f t="shared" si="17"/>
        <v>715.22297127249374</v>
      </c>
      <c r="Z34" s="635">
        <f t="shared" si="18"/>
        <v>3.7297288110645805</v>
      </c>
      <c r="AA34" s="707">
        <f t="shared" si="19"/>
        <v>113.71517604815786</v>
      </c>
      <c r="AB34" s="707">
        <f t="shared" si="20"/>
        <v>8499.2329752881342</v>
      </c>
    </row>
    <row r="35" spans="1:28"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1"/>
        <v>0</v>
      </c>
      <c r="I35" s="27">
        <f t="shared" si="3"/>
        <v>8</v>
      </c>
      <c r="J35" s="739">
        <f>IF(Weather_Site!M33&lt;180,Weather_Site!M33+180,Weather_Site!M33-180)</f>
        <v>20</v>
      </c>
      <c r="K35" s="635">
        <f t="shared" si="4"/>
        <v>6.7566099999999993</v>
      </c>
      <c r="L35" s="635">
        <f t="shared" si="5"/>
        <v>8.7016000000000009</v>
      </c>
      <c r="M35" s="635">
        <f t="shared" si="6"/>
        <v>9.1352899999999995</v>
      </c>
      <c r="N35" s="635">
        <f t="shared" si="7"/>
        <v>9.1352899999999995</v>
      </c>
      <c r="O35" s="636">
        <f t="shared" si="8"/>
        <v>0.58906622083230475</v>
      </c>
      <c r="P35" s="635">
        <f>IF($O$11,Weather_Site!H33,IF(0.191*(Weather_Site!K33+104)*(Weather_Site!J33+1)^1.5/(3.52*(Weather_Site!J33+1)^1.5+Weather_Site!I33-1)&gt;10, 10,0.191*(Weather_Site!K33+104)*(Weather_Site!J33+1)^1.5/(3.52*(Weather_Site!J33+1)^1.5+Weather_Site!I33-1)))</f>
        <v>8.8000000000000007</v>
      </c>
      <c r="Q35" s="636">
        <f t="shared" si="9"/>
        <v>0.97947601629684489</v>
      </c>
      <c r="R35" s="636">
        <f t="shared" si="10"/>
        <v>0.57697623531586339</v>
      </c>
      <c r="S35" s="635">
        <f t="shared" si="11"/>
        <v>1</v>
      </c>
      <c r="T35" s="707">
        <f t="shared" si="12"/>
        <v>247.34866538137933</v>
      </c>
      <c r="U35" s="707">
        <f t="shared" si="13"/>
        <v>659.46292727325613</v>
      </c>
      <c r="V35" s="707">
        <f t="shared" si="14"/>
        <v>1331.3512785973855</v>
      </c>
      <c r="W35" s="636">
        <f t="shared" si="15"/>
        <v>1</v>
      </c>
      <c r="X35" s="636">
        <f t="shared" si="16"/>
        <v>6.0085204693627647E-5</v>
      </c>
      <c r="Y35" s="707">
        <f t="shared" si="17"/>
        <v>659.50329782237668</v>
      </c>
      <c r="Z35" s="635">
        <f t="shared" si="18"/>
        <v>3.5173043907091164</v>
      </c>
      <c r="AA35" s="707">
        <f t="shared" si="19"/>
        <v>104.85615902797899</v>
      </c>
      <c r="AB35" s="707">
        <f t="shared" si="20"/>
        <v>7837.0975224559106</v>
      </c>
    </row>
    <row r="36" spans="1:28"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1"/>
        <v>0</v>
      </c>
      <c r="I36" s="27">
        <f t="shared" si="3"/>
        <v>7</v>
      </c>
      <c r="J36" s="739">
        <f>IF(Weather_Site!M34&lt;180,Weather_Site!M34+180,Weather_Site!M34-180)</f>
        <v>17</v>
      </c>
      <c r="K36" s="635">
        <f t="shared" si="4"/>
        <v>7.1157199999999996</v>
      </c>
      <c r="L36" s="635">
        <f t="shared" si="5"/>
        <v>9.2164000000000019</v>
      </c>
      <c r="M36" s="635">
        <f t="shared" si="6"/>
        <v>9.7326800000000002</v>
      </c>
      <c r="N36" s="635">
        <f t="shared" si="7"/>
        <v>9.7326800000000002</v>
      </c>
      <c r="O36" s="636">
        <f t="shared" si="8"/>
        <v>0.53704646170044446</v>
      </c>
      <c r="P36" s="635">
        <f>IF($O$11,Weather_Site!H34,IF(0.191*(Weather_Site!K34+104)*(Weather_Site!J34+1)^1.5/(3.52*(Weather_Site!J34+1)^1.5+Weather_Site!I34-1)&gt;10, 10,0.191*(Weather_Site!K34+104)*(Weather_Site!J34+1)^1.5/(3.52*(Weather_Site!J34+1)^1.5+Weather_Site!I34-1)))</f>
        <v>8.8000000000000007</v>
      </c>
      <c r="Q36" s="636">
        <f t="shared" si="9"/>
        <v>0.97947601629684489</v>
      </c>
      <c r="R36" s="636">
        <f t="shared" si="10"/>
        <v>0.52602412887266736</v>
      </c>
      <c r="S36" s="635">
        <f t="shared" si="11"/>
        <v>1</v>
      </c>
      <c r="T36" s="707">
        <f t="shared" si="12"/>
        <v>197.59938403851137</v>
      </c>
      <c r="U36" s="707">
        <f t="shared" si="13"/>
        <v>538.46162250252314</v>
      </c>
      <c r="V36" s="707">
        <f t="shared" si="14"/>
        <v>1035.2750632783182</v>
      </c>
      <c r="W36" s="636">
        <f t="shared" si="15"/>
        <v>1</v>
      </c>
      <c r="X36" s="636">
        <f t="shared" si="16"/>
        <v>6.3044836976955301E-6</v>
      </c>
      <c r="Y36" s="707">
        <f t="shared" si="17"/>
        <v>538.46475465476135</v>
      </c>
      <c r="Z36" s="635">
        <f t="shared" si="18"/>
        <v>3.0376854319860929</v>
      </c>
      <c r="AA36" s="707">
        <f t="shared" si="19"/>
        <v>95.669240753102358</v>
      </c>
      <c r="AB36" s="707">
        <f t="shared" si="20"/>
        <v>6398.756167814081</v>
      </c>
    </row>
    <row r="37" spans="1:28"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1"/>
        <v>0</v>
      </c>
      <c r="I37" s="27">
        <f t="shared" si="3"/>
        <v>6</v>
      </c>
      <c r="J37" s="739">
        <f>IF(Weather_Site!M35&lt;180,Weather_Site!M35+180,Weather_Site!M35-180)</f>
        <v>13</v>
      </c>
      <c r="K37" s="635">
        <f t="shared" si="4"/>
        <v>7.5932199999999996</v>
      </c>
      <c r="L37" s="635">
        <f t="shared" si="5"/>
        <v>9.8867000000000012</v>
      </c>
      <c r="M37" s="635">
        <f t="shared" si="6"/>
        <v>10.513580000000001</v>
      </c>
      <c r="N37" s="635">
        <f t="shared" si="7"/>
        <v>10.513580000000001</v>
      </c>
      <c r="O37" s="636">
        <f t="shared" si="8"/>
        <v>0.47272175467155969</v>
      </c>
      <c r="P37" s="635">
        <f>IF($O$11,Weather_Site!H35,IF(0.191*(Weather_Site!K35+104)*(Weather_Site!J35+1)^1.5/(3.52*(Weather_Site!J35+1)^1.5+Weather_Site!I35-1)&gt;10, 10,0.191*(Weather_Site!K35+104)*(Weather_Site!J35+1)^1.5/(3.52*(Weather_Site!J35+1)^1.5+Weather_Site!I35-1)))</f>
        <v>8.8000000000000007</v>
      </c>
      <c r="Q37" s="636">
        <f t="shared" si="9"/>
        <v>0.97947601629684489</v>
      </c>
      <c r="R37" s="636">
        <f t="shared" si="10"/>
        <v>0.46301962108255373</v>
      </c>
      <c r="S37" s="635">
        <f t="shared" si="11"/>
        <v>1</v>
      </c>
      <c r="T37" s="707">
        <f t="shared" si="12"/>
        <v>149.06303629062694</v>
      </c>
      <c r="U37" s="707">
        <f t="shared" si="13"/>
        <v>417.32191362313876</v>
      </c>
      <c r="V37" s="707">
        <f t="shared" si="14"/>
        <v>758.39788139474399</v>
      </c>
      <c r="W37" s="636">
        <f t="shared" si="15"/>
        <v>1</v>
      </c>
      <c r="X37" s="636">
        <f t="shared" si="16"/>
        <v>4.7846202429760306E-7</v>
      </c>
      <c r="Y37" s="707">
        <f t="shared" si="17"/>
        <v>417.32207681503672</v>
      </c>
      <c r="Z37" s="635">
        <f t="shared" si="18"/>
        <v>2.5264858894112581</v>
      </c>
      <c r="AA37" s="707">
        <f t="shared" si="19"/>
        <v>84.015557419680448</v>
      </c>
      <c r="AB37" s="707">
        <f t="shared" si="20"/>
        <v>4959.1773461520197</v>
      </c>
    </row>
    <row r="38" spans="1:28"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1"/>
        <v>0</v>
      </c>
      <c r="I38" s="27">
        <f t="shared" si="3"/>
        <v>5</v>
      </c>
      <c r="J38" s="739">
        <f>IF(Weather_Site!M36&lt;180,Weather_Site!M36+180,Weather_Site!M36-180)</f>
        <v>10</v>
      </c>
      <c r="K38" s="635">
        <f t="shared" si="4"/>
        <v>8.0316500000000008</v>
      </c>
      <c r="L38" s="635">
        <f t="shared" si="5"/>
        <v>10.501800000000001</v>
      </c>
      <c r="M38" s="635">
        <f t="shared" si="6"/>
        <v>11.230250000000002</v>
      </c>
      <c r="N38" s="635">
        <f t="shared" si="7"/>
        <v>11.230250000000002</v>
      </c>
      <c r="O38" s="636">
        <f t="shared" si="8"/>
        <v>0.41835278490704364</v>
      </c>
      <c r="P38" s="635">
        <f>IF($O$11,Weather_Site!H36,IF(0.191*(Weather_Site!K36+104)*(Weather_Site!J36+1)^1.5/(3.52*(Weather_Site!J36+1)^1.5+Weather_Site!I36-1)&gt;10, 10,0.191*(Weather_Site!K36+104)*(Weather_Site!J36+1)^1.5/(3.52*(Weather_Site!J36+1)^1.5+Weather_Site!I36-1)))</f>
        <v>8.8000000000000007</v>
      </c>
      <c r="Q38" s="636">
        <f t="shared" si="9"/>
        <v>0.97947601629684489</v>
      </c>
      <c r="R38" s="636">
        <f t="shared" si="10"/>
        <v>0.40976651916744194</v>
      </c>
      <c r="S38" s="635">
        <f t="shared" si="11"/>
        <v>1</v>
      </c>
      <c r="T38" s="707">
        <f t="shared" si="12"/>
        <v>109.5810338724425</v>
      </c>
      <c r="U38" s="707">
        <f t="shared" si="13"/>
        <v>317.70869629864399</v>
      </c>
      <c r="V38" s="707">
        <f t="shared" si="14"/>
        <v>540.14100937881983</v>
      </c>
      <c r="W38" s="636">
        <f t="shared" si="15"/>
        <v>1</v>
      </c>
      <c r="X38" s="636">
        <f t="shared" si="16"/>
        <v>4.7190158568684327E-8</v>
      </c>
      <c r="Y38" s="707">
        <f t="shared" si="17"/>
        <v>317.70870679526007</v>
      </c>
      <c r="Z38" s="635">
        <f t="shared" si="18"/>
        <v>2.0743552517085826</v>
      </c>
      <c r="AA38" s="707">
        <f t="shared" si="19"/>
        <v>73.782793031876466</v>
      </c>
      <c r="AB38" s="707">
        <f t="shared" si="20"/>
        <v>3775.438465750341</v>
      </c>
    </row>
    <row r="39" spans="1:28" x14ac:dyDescent="0.25">
      <c r="A39" s="67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1"/>
        <v>0</v>
      </c>
      <c r="I39" s="413">
        <f t="shared" si="3"/>
        <v>5</v>
      </c>
      <c r="J39" s="413">
        <f>IF(Weather_Site!M37&lt;180,Weather_Site!M37+180,Weather_Site!M37-180)</f>
        <v>9</v>
      </c>
      <c r="K39" s="711">
        <f t="shared" si="4"/>
        <v>8.4967499999999987</v>
      </c>
      <c r="L39" s="711">
        <f t="shared" si="5"/>
        <v>11.155200000000001</v>
      </c>
      <c r="M39" s="711">
        <f t="shared" si="6"/>
        <v>11.991350000000001</v>
      </c>
      <c r="N39" s="711">
        <f t="shared" si="7"/>
        <v>11.991350000000001</v>
      </c>
      <c r="O39" s="713">
        <f t="shared" si="8"/>
        <v>0.3663807591470567</v>
      </c>
      <c r="P39" s="711">
        <f>IF($O$11,Weather_Site!H37,IF(0.191*(Weather_Site!K37+104)*(Weather_Site!J37+1)^1.5/(3.52*(Weather_Site!J37+1)^1.5+Weather_Site!I37-1)&gt;10, 10,0.191*(Weather_Site!K37+104)*(Weather_Site!J37+1)^1.5/(3.52*(Weather_Site!J37+1)^1.5+Weather_Site!I37-1)))</f>
        <v>8.8000000000000007</v>
      </c>
      <c r="Q39" s="713">
        <f t="shared" si="9"/>
        <v>0.97947601629684489</v>
      </c>
      <c r="R39" s="713">
        <f t="shared" si="10"/>
        <v>0.35886116641717292</v>
      </c>
      <c r="S39" s="711">
        <f t="shared" si="11"/>
        <v>1</v>
      </c>
      <c r="T39" s="716">
        <f t="shared" si="12"/>
        <v>95.967766504113584</v>
      </c>
      <c r="U39" s="716">
        <f t="shared" si="13"/>
        <v>278.23969993024667</v>
      </c>
      <c r="V39" s="716">
        <f t="shared" si="14"/>
        <v>473.03921523228655</v>
      </c>
      <c r="W39" s="713">
        <f t="shared" si="15"/>
        <v>1</v>
      </c>
      <c r="X39" s="713">
        <f t="shared" si="16"/>
        <v>0</v>
      </c>
      <c r="Y39" s="716">
        <f t="shared" si="17"/>
        <v>278.23969993024667</v>
      </c>
      <c r="Z39" s="711">
        <f t="shared" si="18"/>
        <v>1.8846516557126833</v>
      </c>
      <c r="AA39" s="716">
        <f t="shared" si="19"/>
        <v>64.616744061831554</v>
      </c>
      <c r="AB39" s="716">
        <f t="shared" si="20"/>
        <v>3306.4151008377653</v>
      </c>
    </row>
    <row r="40" spans="1:28" x14ac:dyDescent="0.25">
      <c r="A40" s="67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1"/>
        <v>0</v>
      </c>
      <c r="I40" s="413">
        <f t="shared" si="3"/>
        <v>4.666666666666667</v>
      </c>
      <c r="J40" s="413">
        <f>IF(Weather_Site!M38&lt;180,Weather_Site!M38+180,Weather_Site!M38-180)</f>
        <v>5</v>
      </c>
      <c r="K40" s="711">
        <f t="shared" si="4"/>
        <v>9.1106499999999997</v>
      </c>
      <c r="L40" s="711">
        <f t="shared" si="5"/>
        <v>12.0114</v>
      </c>
      <c r="M40" s="711">
        <f t="shared" si="6"/>
        <v>12.990050000000002</v>
      </c>
      <c r="N40" s="711">
        <f t="shared" si="7"/>
        <v>12.0114</v>
      </c>
      <c r="O40" s="713">
        <f t="shared" si="8"/>
        <v>0.36509821350106408</v>
      </c>
      <c r="P40" s="711">
        <f>IF($O$11,Weather_Site!H38,IF(0.191*(Weather_Site!K38+104)*(Weather_Site!J38+1)^1.5/(3.52*(Weather_Site!J38+1)^1.5+Weather_Site!I38-1)&gt;10, 10,0.191*(Weather_Site!K38+104)*(Weather_Site!J38+1)^1.5/(3.52*(Weather_Site!J38+1)^1.5+Weather_Site!I38-1)))</f>
        <v>8.8000000000000007</v>
      </c>
      <c r="Q40" s="713">
        <f t="shared" si="9"/>
        <v>0.97947601629684489</v>
      </c>
      <c r="R40" s="713">
        <f t="shared" si="10"/>
        <v>0.35760494371711721</v>
      </c>
      <c r="S40" s="711">
        <f t="shared" si="11"/>
        <v>1</v>
      </c>
      <c r="T40" s="716">
        <f t="shared" si="12"/>
        <v>89.057350253627462</v>
      </c>
      <c r="U40" s="716">
        <f t="shared" si="13"/>
        <v>261.91225036396946</v>
      </c>
      <c r="V40" s="716">
        <f t="shared" si="14"/>
        <v>434.18978965972121</v>
      </c>
      <c r="W40" s="713">
        <f t="shared" si="15"/>
        <v>1</v>
      </c>
      <c r="X40" s="713">
        <f t="shared" si="16"/>
        <v>0</v>
      </c>
      <c r="Y40" s="716">
        <f t="shared" si="17"/>
        <v>261.91225036396946</v>
      </c>
      <c r="Z40" s="711">
        <f t="shared" si="18"/>
        <v>1.8040257651703264</v>
      </c>
      <c r="AA40" s="716">
        <f t="shared" si="19"/>
        <v>64.106190122373562</v>
      </c>
      <c r="AB40" s="716">
        <f t="shared" si="20"/>
        <v>3112.3905751585035</v>
      </c>
    </row>
    <row r="41" spans="1:28" x14ac:dyDescent="0.25">
      <c r="A41" s="67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1"/>
        <v>0</v>
      </c>
      <c r="I41" s="413">
        <f t="shared" si="3"/>
        <v>5.333333333333333</v>
      </c>
      <c r="J41" s="413">
        <f>IF(Weather_Site!M39&lt;180,Weather_Site!M39+180,Weather_Site!M39-180)</f>
        <v>1</v>
      </c>
      <c r="K41" s="711">
        <f t="shared" si="4"/>
        <v>8.7590199999999996</v>
      </c>
      <c r="L41" s="711">
        <f t="shared" si="5"/>
        <v>11.5146</v>
      </c>
      <c r="M41" s="711">
        <f t="shared" si="6"/>
        <v>12.41198</v>
      </c>
      <c r="N41" s="711">
        <f t="shared" si="7"/>
        <v>11.5146</v>
      </c>
      <c r="O41" s="713">
        <f t="shared" si="8"/>
        <v>0.39820209996028777</v>
      </c>
      <c r="P41" s="711">
        <f>IF($O$11,Weather_Site!H39,IF(0.191*(Weather_Site!K39+104)*(Weather_Site!J39+1)^1.5/(3.52*(Weather_Site!J39+1)^1.5+Weather_Site!I39-1)&gt;10, 10,0.191*(Weather_Site!K39+104)*(Weather_Site!J39+1)^1.5/(3.52*(Weather_Site!J39+1)^1.5+Weather_Site!I39-1)))</f>
        <v>8.8000000000000007</v>
      </c>
      <c r="Q41" s="713">
        <f t="shared" si="9"/>
        <v>0.97947601629684489</v>
      </c>
      <c r="R41" s="713">
        <f t="shared" si="10"/>
        <v>0.39002940655014068</v>
      </c>
      <c r="S41" s="711">
        <f t="shared" si="11"/>
        <v>1</v>
      </c>
      <c r="T41" s="716">
        <f t="shared" si="12"/>
        <v>111.42949354813695</v>
      </c>
      <c r="U41" s="716">
        <f t="shared" si="13"/>
        <v>318.95764852898111</v>
      </c>
      <c r="V41" s="716">
        <f t="shared" si="14"/>
        <v>555.21103740986257</v>
      </c>
      <c r="W41" s="713">
        <f t="shared" si="15"/>
        <v>1</v>
      </c>
      <c r="X41" s="713">
        <f t="shared" si="16"/>
        <v>3.7295849747463027E-8</v>
      </c>
      <c r="Y41" s="716">
        <f t="shared" si="17"/>
        <v>318.95765734025201</v>
      </c>
      <c r="Z41" s="711">
        <f t="shared" si="18"/>
        <v>2.0802477766874374</v>
      </c>
      <c r="AA41" s="716">
        <f t="shared" si="19"/>
        <v>70.46607841557352</v>
      </c>
      <c r="AB41" s="716">
        <f t="shared" si="20"/>
        <v>3790.2801613933284</v>
      </c>
    </row>
    <row r="42" spans="1:28" x14ac:dyDescent="0.25">
      <c r="A42" s="67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1"/>
        <v>0</v>
      </c>
      <c r="I42" s="413">
        <f t="shared" si="3"/>
        <v>7</v>
      </c>
      <c r="J42" s="413">
        <f>IF(Weather_Site!M40&lt;180,Weather_Site!M40+180,Weather_Site!M40-180)</f>
        <v>358</v>
      </c>
      <c r="K42" s="711">
        <f t="shared" si="4"/>
        <v>7.9329400000000003</v>
      </c>
      <c r="L42" s="711">
        <f t="shared" si="5"/>
        <v>10.341900000000001</v>
      </c>
      <c r="M42" s="711">
        <f t="shared" si="6"/>
        <v>11.048660000000002</v>
      </c>
      <c r="N42" s="711">
        <f t="shared" si="7"/>
        <v>10.341900000000001</v>
      </c>
      <c r="O42" s="713">
        <f t="shared" si="8"/>
        <v>0.48644632351610784</v>
      </c>
      <c r="P42" s="711">
        <f>IF($O$11,Weather_Site!H40,IF(0.191*(Weather_Site!K40+104)*(Weather_Site!J40+1)^1.5/(3.52*(Weather_Site!J40+1)^1.5+Weather_Site!I40-1)&gt;10, 10,0.191*(Weather_Site!K40+104)*(Weather_Site!J40+1)^1.5/(3.52*(Weather_Site!J40+1)^1.5+Weather_Site!I40-1)))</f>
        <v>8.8000000000000007</v>
      </c>
      <c r="Q42" s="713">
        <f t="shared" si="9"/>
        <v>0.97947601629684489</v>
      </c>
      <c r="R42" s="713">
        <f t="shared" si="10"/>
        <v>0.47646250709980353</v>
      </c>
      <c r="S42" s="711">
        <f t="shared" si="11"/>
        <v>1</v>
      </c>
      <c r="T42" s="716">
        <f t="shared" si="12"/>
        <v>178.98170968342831</v>
      </c>
      <c r="U42" s="716">
        <f t="shared" si="13"/>
        <v>487.72814886726206</v>
      </c>
      <c r="V42" s="716">
        <f t="shared" si="14"/>
        <v>937.73217826458142</v>
      </c>
      <c r="W42" s="713">
        <f t="shared" si="15"/>
        <v>1</v>
      </c>
      <c r="X42" s="713">
        <f t="shared" si="16"/>
        <v>1.6642530963516144E-6</v>
      </c>
      <c r="Y42" s="716">
        <f t="shared" si="17"/>
        <v>487.72889778786134</v>
      </c>
      <c r="Z42" s="711">
        <f t="shared" si="18"/>
        <v>2.8279330966342004</v>
      </c>
      <c r="AA42" s="716">
        <f t="shared" si="19"/>
        <v>86.654981484589101</v>
      </c>
      <c r="AB42" s="716">
        <f t="shared" si="20"/>
        <v>5795.8450687124196</v>
      </c>
    </row>
    <row r="43" spans="1:28" x14ac:dyDescent="0.25">
      <c r="A43" s="67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1"/>
        <v>0</v>
      </c>
      <c r="I43" s="413">
        <f t="shared" si="3"/>
        <v>4.666666666666667</v>
      </c>
      <c r="J43" s="413">
        <f>IF(Weather_Site!M41&lt;180,Weather_Site!M41+180,Weather_Site!M41-180)</f>
        <v>357</v>
      </c>
      <c r="K43" s="711">
        <f t="shared" si="4"/>
        <v>7.3754299999999997</v>
      </c>
      <c r="L43" s="711">
        <f t="shared" si="5"/>
        <v>9.5566999999999993</v>
      </c>
      <c r="M43" s="711">
        <f t="shared" si="6"/>
        <v>10.13447</v>
      </c>
      <c r="N43" s="711">
        <f t="shared" si="7"/>
        <v>9.5566999999999993</v>
      </c>
      <c r="O43" s="713">
        <f t="shared" si="8"/>
        <v>0.55215300958367042</v>
      </c>
      <c r="P43" s="711">
        <f>IF($O$11,Weather_Site!H41,IF(0.191*(Weather_Site!K41+104)*(Weather_Site!J41+1)^1.5/(3.52*(Weather_Site!J41+1)^1.5+Weather_Site!I41-1)&gt;10, 10,0.191*(Weather_Site!K41+104)*(Weather_Site!J41+1)^1.5/(3.52*(Weather_Site!J41+1)^1.5+Weather_Site!I41-1)))</f>
        <v>8.8000000000000007</v>
      </c>
      <c r="Q43" s="713">
        <f t="shared" si="9"/>
        <v>0.97947601629684489</v>
      </c>
      <c r="R43" s="713">
        <f t="shared" si="10"/>
        <v>0.54082063021332716</v>
      </c>
      <c r="S43" s="711">
        <f t="shared" si="11"/>
        <v>1</v>
      </c>
      <c r="T43" s="716">
        <f t="shared" si="12"/>
        <v>134.68508513516497</v>
      </c>
      <c r="U43" s="716">
        <f t="shared" si="13"/>
        <v>396.10064343652573</v>
      </c>
      <c r="V43" s="716">
        <f t="shared" si="14"/>
        <v>656.64303528676999</v>
      </c>
      <c r="W43" s="713">
        <f t="shared" si="15"/>
        <v>1</v>
      </c>
      <c r="X43" s="713">
        <f t="shared" si="16"/>
        <v>1.1891021099110478E-6</v>
      </c>
      <c r="Y43" s="716">
        <f t="shared" si="17"/>
        <v>396.10095324803359</v>
      </c>
      <c r="Z43" s="711">
        <f t="shared" si="18"/>
        <v>2.4329307104400764</v>
      </c>
      <c r="AA43" s="716">
        <f t="shared" si="19"/>
        <v>96.950497662040718</v>
      </c>
      <c r="AB43" s="716">
        <f t="shared" si="20"/>
        <v>4706.9996610974658</v>
      </c>
    </row>
    <row r="44" spans="1:28"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1"/>
        <v>0</v>
      </c>
      <c r="I44" s="27">
        <f t="shared" si="3"/>
        <v>6</v>
      </c>
      <c r="J44" s="739">
        <f>IF(Weather_Site!M42&lt;180,Weather_Site!M42+180,Weather_Site!M42-180)</f>
        <v>356</v>
      </c>
      <c r="K44" s="635">
        <f t="shared" si="4"/>
        <v>6.5711000000000004</v>
      </c>
      <c r="L44" s="635">
        <f t="shared" si="5"/>
        <v>8.4234000000000009</v>
      </c>
      <c r="M44" s="635">
        <f t="shared" si="6"/>
        <v>8.815100000000001</v>
      </c>
      <c r="N44" s="635">
        <f t="shared" si="7"/>
        <v>8.4234000000000009</v>
      </c>
      <c r="O44" s="636">
        <f t="shared" si="8"/>
        <v>0.65318227377019322</v>
      </c>
      <c r="P44" s="635">
        <f>IF($O$11,Weather_Site!H42,IF(0.191*(Weather_Site!K42+104)*(Weather_Site!J42+1)^1.5/(3.52*(Weather_Site!J42+1)^1.5+Weather_Site!I42-1)&gt;10, 10,0.191*(Weather_Site!K42+104)*(Weather_Site!J42+1)^1.5/(3.52*(Weather_Site!J42+1)^1.5+Weather_Site!I42-1)))</f>
        <v>8.8000000000000007</v>
      </c>
      <c r="Q44" s="636">
        <f t="shared" si="9"/>
        <v>0.97947601629684489</v>
      </c>
      <c r="R44" s="636">
        <f t="shared" si="10"/>
        <v>0.63977637142814403</v>
      </c>
      <c r="S44" s="635">
        <f t="shared" si="11"/>
        <v>1</v>
      </c>
      <c r="T44" s="707">
        <f t="shared" si="12"/>
        <v>205.96753167632104</v>
      </c>
      <c r="U44" s="707">
        <f t="shared" si="13"/>
        <v>576.63366185438133</v>
      </c>
      <c r="V44" s="707">
        <f t="shared" si="14"/>
        <v>1047.9146510532262</v>
      </c>
      <c r="W44" s="636">
        <f t="shared" si="15"/>
        <v>1</v>
      </c>
      <c r="X44" s="636">
        <f t="shared" si="16"/>
        <v>5.5302692354414258E-5</v>
      </c>
      <c r="Y44" s="707">
        <f t="shared" si="17"/>
        <v>576.65972496193945</v>
      </c>
      <c r="Z44" s="635">
        <f t="shared" si="18"/>
        <v>3.1919859374382717</v>
      </c>
      <c r="AA44" s="707">
        <f t="shared" si="19"/>
        <v>116.09351847357453</v>
      </c>
      <c r="AB44" s="707">
        <f t="shared" si="20"/>
        <v>6852.6397316310467</v>
      </c>
    </row>
    <row r="45" spans="1:28"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1"/>
        <v>0</v>
      </c>
      <c r="I45" s="27">
        <f t="shared" si="3"/>
        <v>5.333333333333333</v>
      </c>
      <c r="J45" s="739">
        <f>IF(Weather_Site!M43&lt;180,Weather_Site!M43+180,Weather_Site!M43-180)</f>
        <v>346</v>
      </c>
      <c r="K45" s="635">
        <f t="shared" si="4"/>
        <v>6.084249999999999</v>
      </c>
      <c r="L45" s="635">
        <f t="shared" si="5"/>
        <v>7.7305999999999999</v>
      </c>
      <c r="M45" s="635">
        <f t="shared" si="6"/>
        <v>8.0100499999999997</v>
      </c>
      <c r="N45" s="635">
        <f t="shared" si="7"/>
        <v>7.7305999999999999</v>
      </c>
      <c r="O45" s="636">
        <f t="shared" si="8"/>
        <v>0.71655397428579803</v>
      </c>
      <c r="P45" s="635">
        <f>IF($O$11,Weather_Site!H43,IF(0.191*(Weather_Site!K43+104)*(Weather_Site!J43+1)^1.5/(3.52*(Weather_Site!J43+1)^1.5+Weather_Site!I43-1)&gt;10, 10,0.191*(Weather_Site!K43+104)*(Weather_Site!J43+1)^1.5/(3.52*(Weather_Site!J43+1)^1.5+Weather_Site!I43-1)))</f>
        <v>8.8000000000000007</v>
      </c>
      <c r="Q45" s="636">
        <f t="shared" si="9"/>
        <v>0.97947601629684489</v>
      </c>
      <c r="R45" s="636">
        <f t="shared" si="10"/>
        <v>0.70184743219512524</v>
      </c>
      <c r="S45" s="635">
        <f t="shared" si="11"/>
        <v>1</v>
      </c>
      <c r="T45" s="707">
        <f t="shared" si="12"/>
        <v>200.51437815755892</v>
      </c>
      <c r="U45" s="707">
        <f t="shared" si="13"/>
        <v>573.95571420915962</v>
      </c>
      <c r="V45" s="707">
        <f t="shared" si="14"/>
        <v>999.08733646320263</v>
      </c>
      <c r="W45" s="636">
        <f t="shared" si="15"/>
        <v>1</v>
      </c>
      <c r="X45" s="636">
        <f t="shared" si="16"/>
        <v>1.6248323803196566E-4</v>
      </c>
      <c r="Y45" s="707">
        <f t="shared" si="17"/>
        <v>574.02479097173318</v>
      </c>
      <c r="Z45" s="635">
        <f t="shared" si="18"/>
        <v>3.1814341829590749</v>
      </c>
      <c r="AA45" s="707">
        <f t="shared" si="19"/>
        <v>126.8170711761517</v>
      </c>
      <c r="AB45" s="707">
        <f t="shared" si="20"/>
        <v>6821.3279327140963</v>
      </c>
    </row>
    <row r="46" spans="1:28"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1"/>
        <v>0</v>
      </c>
      <c r="I46" s="27">
        <f t="shared" si="3"/>
        <v>5</v>
      </c>
      <c r="J46" s="739">
        <f>IF(Weather_Site!M44&lt;180,Weather_Site!M44+180,Weather_Site!M44-180)</f>
        <v>349</v>
      </c>
      <c r="K46" s="635">
        <f t="shared" si="4"/>
        <v>5.5297899999999993</v>
      </c>
      <c r="L46" s="635">
        <f t="shared" si="5"/>
        <v>6.9398000000000009</v>
      </c>
      <c r="M46" s="635">
        <f t="shared" si="6"/>
        <v>7.0915100000000013</v>
      </c>
      <c r="N46" s="635">
        <f t="shared" si="7"/>
        <v>6.9398000000000009</v>
      </c>
      <c r="O46" s="636">
        <f t="shared" si="8"/>
        <v>0.78817051453569886</v>
      </c>
      <c r="P46" s="635">
        <f>IF($O$11,Weather_Site!H44,IF(0.191*(Weather_Site!K44+104)*(Weather_Site!J44+1)^1.5/(3.52*(Weather_Site!J44+1)^1.5+Weather_Site!I44-1)&gt;10, 10,0.191*(Weather_Site!K44+104)*(Weather_Site!J44+1)^1.5/(3.52*(Weather_Site!J44+1)^1.5+Weather_Site!I44-1)))</f>
        <v>8.8000000000000007</v>
      </c>
      <c r="Q46" s="636">
        <f t="shared" si="9"/>
        <v>0.97947601629684489</v>
      </c>
      <c r="R46" s="636">
        <f t="shared" si="10"/>
        <v>0.77199411574006083</v>
      </c>
      <c r="S46" s="635">
        <f t="shared" si="11"/>
        <v>1</v>
      </c>
      <c r="T46" s="707">
        <f t="shared" si="12"/>
        <v>206.44906157320693</v>
      </c>
      <c r="U46" s="707">
        <f t="shared" si="13"/>
        <v>598.55852684190472</v>
      </c>
      <c r="V46" s="707">
        <f t="shared" si="14"/>
        <v>1017.6177442646407</v>
      </c>
      <c r="W46" s="636">
        <f t="shared" si="15"/>
        <v>1</v>
      </c>
      <c r="X46" s="636">
        <f t="shared" si="16"/>
        <v>7.9625593040951966E-4</v>
      </c>
      <c r="Y46" s="707">
        <f t="shared" si="17"/>
        <v>598.89220522897028</v>
      </c>
      <c r="Z46" s="635">
        <f t="shared" si="18"/>
        <v>3.2804933776827072</v>
      </c>
      <c r="AA46" s="707">
        <f t="shared" si="19"/>
        <v>139.08318746608691</v>
      </c>
      <c r="AB46" s="707">
        <f t="shared" si="20"/>
        <v>7116.8357054709295</v>
      </c>
    </row>
    <row r="47" spans="1:28"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1"/>
        <v>0</v>
      </c>
      <c r="I47" s="27">
        <f t="shared" si="3"/>
        <v>4.666666666666667</v>
      </c>
      <c r="J47" s="739">
        <f>IF(Weather_Site!M45&lt;180,Weather_Site!M45+180,Weather_Site!M45-180)</f>
        <v>5</v>
      </c>
      <c r="K47" s="635">
        <f t="shared" si="4"/>
        <v>5.0639999999999992</v>
      </c>
      <c r="L47" s="635">
        <f t="shared" si="5"/>
        <v>6.2718000000000007</v>
      </c>
      <c r="M47" s="635">
        <f t="shared" si="6"/>
        <v>6.3163999999999998</v>
      </c>
      <c r="N47" s="635">
        <f t="shared" si="7"/>
        <v>5.0639999999999992</v>
      </c>
      <c r="O47" s="636">
        <f t="shared" si="8"/>
        <v>0.94024683871251657</v>
      </c>
      <c r="P47" s="635">
        <f>IF($O$11,Weather_Site!H45,IF(0.191*(Weather_Site!K45+104)*(Weather_Site!J45+1)^1.5/(3.52*(Weather_Site!J45+1)^1.5+Weather_Site!I45-1)&gt;10, 10,0.191*(Weather_Site!K45+104)*(Weather_Site!J45+1)^1.5/(3.52*(Weather_Site!J45+1)^1.5+Weather_Site!I45-1)))</f>
        <v>8.8000000000000007</v>
      </c>
      <c r="Q47" s="636">
        <f t="shared" si="9"/>
        <v>0.97947601629684489</v>
      </c>
      <c r="R47" s="636">
        <f t="shared" si="10"/>
        <v>0.92094922791783773</v>
      </c>
      <c r="S47" s="635">
        <f t="shared" si="11"/>
        <v>1</v>
      </c>
      <c r="T47" s="707">
        <f t="shared" si="12"/>
        <v>229.35168933616953</v>
      </c>
      <c r="U47" s="707">
        <f t="shared" si="13"/>
        <v>674.50936848828405</v>
      </c>
      <c r="V47" s="707">
        <f t="shared" si="14"/>
        <v>1118.1801554545693</v>
      </c>
      <c r="W47" s="636">
        <f t="shared" si="15"/>
        <v>1</v>
      </c>
      <c r="X47" s="636">
        <f t="shared" si="16"/>
        <v>3.1463347845417211E-2</v>
      </c>
      <c r="Y47" s="707">
        <f t="shared" si="17"/>
        <v>688.4687367874543</v>
      </c>
      <c r="Z47" s="635">
        <f t="shared" si="18"/>
        <v>3.6283266405961747</v>
      </c>
      <c r="AA47" s="707">
        <f t="shared" si="19"/>
        <v>168.5110477744895</v>
      </c>
      <c r="AB47" s="707">
        <f t="shared" si="20"/>
        <v>8181.3034888242491</v>
      </c>
    </row>
    <row r="48" spans="1:28"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1"/>
        <v>0</v>
      </c>
      <c r="I48" s="27">
        <f t="shared" si="3"/>
        <v>4.333333333333333</v>
      </c>
      <c r="J48" s="739">
        <f>IF(Weather_Site!M46&lt;180,Weather_Site!M46+180,Weather_Site!M46-180)</f>
        <v>19</v>
      </c>
      <c r="K48" s="635">
        <f t="shared" si="4"/>
        <v>4.6049999999999995</v>
      </c>
      <c r="L48" s="635">
        <f t="shared" si="5"/>
        <v>5.6072000000000006</v>
      </c>
      <c r="M48" s="635">
        <f t="shared" si="6"/>
        <v>5.5466000000000006</v>
      </c>
      <c r="N48" s="635">
        <f t="shared" si="7"/>
        <v>4.6049999999999995</v>
      </c>
      <c r="O48" s="636">
        <f t="shared" si="8"/>
        <v>0.97026531035988228</v>
      </c>
      <c r="P48" s="635">
        <f>IF($O$11,Weather_Site!H46,IF(0.191*(Weather_Site!K46+104)*(Weather_Site!J46+1)^1.5/(3.52*(Weather_Site!J46+1)^1.5+Weather_Site!I46-1)&gt;10, 10,0.191*(Weather_Site!K46+104)*(Weather_Site!J46+1)^1.5/(3.52*(Weather_Site!J46+1)^1.5+Weather_Site!I46-1)))</f>
        <v>8.8000000000000007</v>
      </c>
      <c r="Q48" s="636">
        <f t="shared" si="9"/>
        <v>0.97947601629684489</v>
      </c>
      <c r="R48" s="636">
        <f t="shared" si="10"/>
        <v>0.9503516009423193</v>
      </c>
      <c r="S48" s="635">
        <f t="shared" si="11"/>
        <v>1</v>
      </c>
      <c r="T48" s="707">
        <f t="shared" si="12"/>
        <v>219.08438669793244</v>
      </c>
      <c r="U48" s="707">
        <f t="shared" si="13"/>
        <v>654.72969319971969</v>
      </c>
      <c r="V48" s="707">
        <f t="shared" si="14"/>
        <v>1056.3782075859081</v>
      </c>
      <c r="W48" s="636">
        <f t="shared" si="15"/>
        <v>1</v>
      </c>
      <c r="X48" s="636">
        <f t="shared" si="16"/>
        <v>5.0597950792526103E-2</v>
      </c>
      <c r="Y48" s="707">
        <f t="shared" si="17"/>
        <v>675.0522849665233</v>
      </c>
      <c r="Z48" s="635">
        <f t="shared" si="18"/>
        <v>3.5770666508347126</v>
      </c>
      <c r="AA48" s="707">
        <f t="shared" si="19"/>
        <v>174.64873356269359</v>
      </c>
      <c r="AB48" s="707">
        <f t="shared" si="20"/>
        <v>8021.8713196855188</v>
      </c>
    </row>
    <row r="49" spans="1:28" x14ac:dyDescent="0.25">
      <c r="A49" s="67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1"/>
        <v>0</v>
      </c>
      <c r="I49" s="413">
        <f t="shared" si="3"/>
        <v>3.6666666666666665</v>
      </c>
      <c r="J49" s="413">
        <f>IF(Weather_Site!M47&lt;180,Weather_Site!M47+180,Weather_Site!M47-180)</f>
        <v>24</v>
      </c>
      <c r="K49" s="711">
        <f t="shared" si="4"/>
        <v>4.3041500000000008</v>
      </c>
      <c r="L49" s="711">
        <f t="shared" si="5"/>
        <v>5.1679000000000004</v>
      </c>
      <c r="M49" s="711">
        <f t="shared" si="6"/>
        <v>5.0385500000000008</v>
      </c>
      <c r="N49" s="711">
        <f t="shared" si="7"/>
        <v>4.3041500000000008</v>
      </c>
      <c r="O49" s="713">
        <f t="shared" si="8"/>
        <v>0.98772666062955183</v>
      </c>
      <c r="P49" s="711">
        <f>IF($O$11,Weather_Site!H47,IF(0.191*(Weather_Site!K47+104)*(Weather_Site!J47+1)^1.5/(3.52*(Weather_Site!J47+1)^1.5+Weather_Site!I47-1)&gt;10, 10,0.191*(Weather_Site!K47+104)*(Weather_Site!J47+1)^1.5/(3.52*(Weather_Site!J47+1)^1.5+Weather_Site!I47-1)))</f>
        <v>8.8000000000000007</v>
      </c>
      <c r="Q49" s="713">
        <f t="shared" si="9"/>
        <v>0.97947601629684489</v>
      </c>
      <c r="R49" s="713">
        <f t="shared" si="10"/>
        <v>0.96745457474361907</v>
      </c>
      <c r="S49" s="711">
        <f t="shared" si="11"/>
        <v>1</v>
      </c>
      <c r="T49" s="716">
        <f t="shared" si="12"/>
        <v>186.80065647642249</v>
      </c>
      <c r="U49" s="716">
        <f t="shared" si="13"/>
        <v>580.6359865985446</v>
      </c>
      <c r="V49" s="716">
        <f t="shared" si="14"/>
        <v>881.32795654878657</v>
      </c>
      <c r="W49" s="713">
        <f t="shared" si="15"/>
        <v>1</v>
      </c>
      <c r="X49" s="713">
        <f t="shared" si="16"/>
        <v>4.4680604302726086E-2</v>
      </c>
      <c r="Y49" s="716">
        <f t="shared" si="17"/>
        <v>594.07108552489854</v>
      </c>
      <c r="Z49" s="711">
        <f t="shared" si="18"/>
        <v>3.2613789049952753</v>
      </c>
      <c r="AA49" s="716">
        <f t="shared" si="19"/>
        <v>173.48180280484129</v>
      </c>
      <c r="AB49" s="716">
        <f t="shared" si="20"/>
        <v>7059.5447329875433</v>
      </c>
    </row>
    <row r="50" spans="1:28" x14ac:dyDescent="0.25">
      <c r="A50" s="67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1"/>
        <v>0</v>
      </c>
      <c r="I50" s="413">
        <f t="shared" si="3"/>
        <v>4</v>
      </c>
      <c r="J50" s="413">
        <f>IF(Weather_Site!M48&lt;180,Weather_Site!M48+180,Weather_Site!M48-180)</f>
        <v>29</v>
      </c>
      <c r="K50" s="711">
        <f t="shared" si="4"/>
        <v>4.2110500000000002</v>
      </c>
      <c r="L50" s="711">
        <f t="shared" si="5"/>
        <v>5.0215000000000005</v>
      </c>
      <c r="M50" s="711">
        <f t="shared" si="6"/>
        <v>4.8714500000000003</v>
      </c>
      <c r="N50" s="711">
        <f t="shared" si="7"/>
        <v>4.2110500000000002</v>
      </c>
      <c r="O50" s="713">
        <f t="shared" si="8"/>
        <v>0.99273670466060748</v>
      </c>
      <c r="P50" s="711">
        <f>IF($O$11,Weather_Site!H48,IF(0.191*(Weather_Site!K48+104)*(Weather_Site!J48+1)^1.5/(3.52*(Weather_Site!J48+1)^1.5+Weather_Site!I48-1)&gt;10, 10,0.191*(Weather_Site!K48+104)*(Weather_Site!J48+1)^1.5/(3.52*(Weather_Site!J48+1)^1.5+Weather_Site!I48-1)))</f>
        <v>8.8000000000000007</v>
      </c>
      <c r="Q50" s="713">
        <f t="shared" si="9"/>
        <v>0.97947601629684489</v>
      </c>
      <c r="R50" s="713">
        <f t="shared" si="10"/>
        <v>0.97236179271262924</v>
      </c>
      <c r="S50" s="711">
        <f t="shared" si="11"/>
        <v>1</v>
      </c>
      <c r="T50" s="716">
        <f t="shared" si="12"/>
        <v>206.02799822198179</v>
      </c>
      <c r="U50" s="716">
        <f t="shared" si="13"/>
        <v>627.05103482467109</v>
      </c>
      <c r="V50" s="716">
        <f t="shared" si="14"/>
        <v>982.5430917061293</v>
      </c>
      <c r="W50" s="713">
        <f t="shared" si="15"/>
        <v>1</v>
      </c>
      <c r="X50" s="713">
        <f t="shared" si="16"/>
        <v>6.6886318458700619E-2</v>
      </c>
      <c r="Y50" s="716">
        <f t="shared" si="17"/>
        <v>650.82858975078284</v>
      </c>
      <c r="Z50" s="711">
        <f t="shared" si="18"/>
        <v>3.4837938791528402</v>
      </c>
      <c r="AA50" s="716">
        <f t="shared" si="19"/>
        <v>178.56359464189606</v>
      </c>
      <c r="AB50" s="716">
        <f t="shared" si="20"/>
        <v>7734.0130748718029</v>
      </c>
    </row>
    <row r="51" spans="1:28" x14ac:dyDescent="0.25">
      <c r="A51" s="67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si="21"/>
        <v>0</v>
      </c>
      <c r="I51" s="413">
        <f t="shared" si="3"/>
        <v>3.6666666666666665</v>
      </c>
      <c r="J51" s="413">
        <f>IF(Weather_Site!M49&lt;180,Weather_Site!M49+180,Weather_Site!M49-180)</f>
        <v>32</v>
      </c>
      <c r="K51" s="711">
        <f t="shared" si="4"/>
        <v>4.1111599999999999</v>
      </c>
      <c r="L51" s="711">
        <f t="shared" si="5"/>
        <v>4.8717000000000006</v>
      </c>
      <c r="M51" s="711">
        <f t="shared" si="6"/>
        <v>4.699040000000001</v>
      </c>
      <c r="N51" s="711">
        <f t="shared" si="7"/>
        <v>4.1111599999999999</v>
      </c>
      <c r="O51" s="713">
        <f t="shared" si="8"/>
        <v>0.99789336870419154</v>
      </c>
      <c r="P51" s="711">
        <f>IF($O$11,Weather_Site!H49,IF(0.191*(Weather_Site!K49+104)*(Weather_Site!J49+1)^1.5/(3.52*(Weather_Site!J49+1)^1.5+Weather_Site!I49-1)&gt;10, 10,0.191*(Weather_Site!K49+104)*(Weather_Site!J49+1)^1.5/(3.52*(Weather_Site!J49+1)^1.5+Weather_Site!I49-1)))</f>
        <v>8.8000000000000007</v>
      </c>
      <c r="Q51" s="713">
        <f t="shared" si="9"/>
        <v>0.97947601629684489</v>
      </c>
      <c r="R51" s="713">
        <f t="shared" si="10"/>
        <v>0.97741262146742014</v>
      </c>
      <c r="S51" s="711">
        <f t="shared" si="11"/>
        <v>1</v>
      </c>
      <c r="T51" s="716">
        <f t="shared" si="12"/>
        <v>188.72340273634057</v>
      </c>
      <c r="U51" s="716">
        <f t="shared" si="13"/>
        <v>586.61249488638941</v>
      </c>
      <c r="V51" s="716">
        <f t="shared" si="14"/>
        <v>890.3994987166767</v>
      </c>
      <c r="W51" s="713">
        <f t="shared" si="15"/>
        <v>1</v>
      </c>
      <c r="X51" s="713">
        <f t="shared" si="16"/>
        <v>5.7600411837373952E-2</v>
      </c>
      <c r="Y51" s="716">
        <f t="shared" si="17"/>
        <v>604.11075141785579</v>
      </c>
      <c r="Z51" s="711">
        <f t="shared" si="18"/>
        <v>3.3011355704276863</v>
      </c>
      <c r="AA51" s="716">
        <f t="shared" si="19"/>
        <v>176.41360571716382</v>
      </c>
      <c r="AB51" s="716">
        <f t="shared" si="20"/>
        <v>7178.8494293488529</v>
      </c>
    </row>
    <row r="52" spans="1:28" x14ac:dyDescent="0.25">
      <c r="A52" s="67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si="21"/>
        <v>0</v>
      </c>
      <c r="I52" s="413">
        <f t="shared" si="3"/>
        <v>3.6666666666666665</v>
      </c>
      <c r="J52" s="413">
        <f>IF(Weather_Site!M50&lt;180,Weather_Site!M50+180,Weather_Site!M50-180)</f>
        <v>31</v>
      </c>
      <c r="K52" s="711">
        <f t="shared" si="4"/>
        <v>4.18743</v>
      </c>
      <c r="L52" s="711">
        <f t="shared" si="5"/>
        <v>4.9776000000000007</v>
      </c>
      <c r="M52" s="711">
        <f t="shared" si="6"/>
        <v>4.8226700000000005</v>
      </c>
      <c r="N52" s="711">
        <f t="shared" si="7"/>
        <v>4.9776000000000007</v>
      </c>
      <c r="O52" s="713">
        <f t="shared" si="8"/>
        <v>0.94618325330875519</v>
      </c>
      <c r="P52" s="711">
        <f>IF($O$11,Weather_Site!H50,IF(0.191*(Weather_Site!K50+104)*(Weather_Site!J50+1)^1.5/(3.52*(Weather_Site!J50+1)^1.5+Weather_Site!I50-1)&gt;10, 10,0.191*(Weather_Site!K50+104)*(Weather_Site!J50+1)^1.5/(3.52*(Weather_Site!J50+1)^1.5+Weather_Site!I50-1)))</f>
        <v>8.8000000000000007</v>
      </c>
      <c r="Q52" s="713">
        <f t="shared" si="9"/>
        <v>0.97947601629684489</v>
      </c>
      <c r="R52" s="713">
        <f t="shared" si="10"/>
        <v>0.92676380363764799</v>
      </c>
      <c r="S52" s="711">
        <f t="shared" si="11"/>
        <v>1</v>
      </c>
      <c r="T52" s="716">
        <f t="shared" si="12"/>
        <v>178.94389197960717</v>
      </c>
      <c r="U52" s="716">
        <f t="shared" si="13"/>
        <v>556.21465804900288</v>
      </c>
      <c r="V52" s="716">
        <f t="shared" si="14"/>
        <v>844.25963821588346</v>
      </c>
      <c r="W52" s="713">
        <f t="shared" si="15"/>
        <v>1</v>
      </c>
      <c r="X52" s="713">
        <f t="shared" si="16"/>
        <v>1.5428264145371311E-2</v>
      </c>
      <c r="Y52" s="716">
        <f t="shared" si="17"/>
        <v>560.65869208876575</v>
      </c>
      <c r="Z52" s="711">
        <f t="shared" si="18"/>
        <v>3.1277003759219739</v>
      </c>
      <c r="AA52" s="716">
        <f t="shared" si="19"/>
        <v>163.72465018361339</v>
      </c>
      <c r="AB52" s="716">
        <f t="shared" si="20"/>
        <v>6662.4941243214998</v>
      </c>
    </row>
    <row r="53" spans="1:28" x14ac:dyDescent="0.25">
      <c r="A53" s="67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21"/>
        <v>0</v>
      </c>
      <c r="I53" s="413">
        <f t="shared" si="3"/>
        <v>3.3333333333333335</v>
      </c>
      <c r="J53" s="413">
        <f>IF(Weather_Site!M51&lt;180,Weather_Site!M51+180,Weather_Site!M51-180)</f>
        <v>28</v>
      </c>
      <c r="K53" s="711">
        <f t="shared" si="4"/>
        <v>4.2246299999999994</v>
      </c>
      <c r="L53" s="711">
        <f t="shared" si="5"/>
        <v>5.0282999999999998</v>
      </c>
      <c r="M53" s="711">
        <f t="shared" si="6"/>
        <v>4.8820700000000006</v>
      </c>
      <c r="N53" s="711">
        <f t="shared" si="7"/>
        <v>5.0282999999999998</v>
      </c>
      <c r="O53" s="713">
        <f t="shared" si="8"/>
        <v>0.94271490832601745</v>
      </c>
      <c r="P53" s="711">
        <f>IF($O$11,Weather_Site!H51,IF(0.191*(Weather_Site!K51+104)*(Weather_Site!J51+1)^1.5/(3.52*(Weather_Site!J51+1)^1.5+Weather_Site!I51-1)&gt;10, 10,0.191*(Weather_Site!K51+104)*(Weather_Site!J51+1)^1.5/(3.52*(Weather_Site!J51+1)^1.5+Weather_Site!I51-1)))</f>
        <v>8.8000000000000007</v>
      </c>
      <c r="Q53" s="713">
        <f t="shared" si="9"/>
        <v>0.97947601629684489</v>
      </c>
      <c r="R53" s="713">
        <f t="shared" si="10"/>
        <v>0.92336664291081294</v>
      </c>
      <c r="S53" s="711">
        <f t="shared" si="11"/>
        <v>1</v>
      </c>
      <c r="T53" s="716">
        <f t="shared" si="12"/>
        <v>160.76806036842234</v>
      </c>
      <c r="U53" s="716">
        <f t="shared" si="13"/>
        <v>512.23591050833693</v>
      </c>
      <c r="V53" s="716">
        <f t="shared" si="14"/>
        <v>750.88057148559483</v>
      </c>
      <c r="W53" s="713">
        <f t="shared" si="15"/>
        <v>1</v>
      </c>
      <c r="X53" s="713">
        <f t="shared" si="16"/>
        <v>1.0535651389030723E-2</v>
      </c>
      <c r="Y53" s="716">
        <f t="shared" si="17"/>
        <v>514.7501874622468</v>
      </c>
      <c r="Z53" s="711">
        <f t="shared" si="18"/>
        <v>2.9403590311195456</v>
      </c>
      <c r="AA53" s="716">
        <f t="shared" si="19"/>
        <v>160.65861031905331</v>
      </c>
      <c r="AB53" s="716">
        <f t="shared" si="20"/>
        <v>6116.9480610096998</v>
      </c>
    </row>
    <row r="54" spans="1:28"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21"/>
        <v>0</v>
      </c>
      <c r="I54" s="27">
        <f t="shared" si="3"/>
        <v>2.6666666666666665</v>
      </c>
      <c r="J54" s="739">
        <f>IF(Weather_Site!M52&lt;180,Weather_Site!M52+180,Weather_Site!M52-180)</f>
        <v>22</v>
      </c>
      <c r="K54" s="635">
        <f t="shared" si="4"/>
        <v>4.4255899999999997</v>
      </c>
      <c r="L54" s="635">
        <f t="shared" si="5"/>
        <v>5.3178000000000001</v>
      </c>
      <c r="M54" s="635">
        <f t="shared" si="6"/>
        <v>5.2177100000000003</v>
      </c>
      <c r="N54" s="635">
        <f t="shared" si="7"/>
        <v>5.2177100000000003</v>
      </c>
      <c r="O54" s="636">
        <f t="shared" si="8"/>
        <v>0.92938423760054134</v>
      </c>
      <c r="P54" s="635">
        <f>IF($O$11,Weather_Site!H52,IF(0.191*(Weather_Site!K52+104)*(Weather_Site!J52+1)^1.5/(3.52*(Weather_Site!J52+1)^1.5+Weather_Site!I52-1)&gt;10, 10,0.191*(Weather_Site!K52+104)*(Weather_Site!J52+1)^1.5/(3.52*(Weather_Site!J52+1)^1.5+Weather_Site!I52-1)))</f>
        <v>8.8000000000000007</v>
      </c>
      <c r="Q54" s="636">
        <f t="shared" si="9"/>
        <v>0.97947601629684489</v>
      </c>
      <c r="R54" s="636">
        <f t="shared" si="10"/>
        <v>0.9103095706540586</v>
      </c>
      <c r="S54" s="635">
        <f t="shared" si="11"/>
        <v>1</v>
      </c>
      <c r="T54" s="707">
        <f t="shared" si="12"/>
        <v>123.36650758706683</v>
      </c>
      <c r="U54" s="707">
        <f t="shared" si="13"/>
        <v>420.01743684903192</v>
      </c>
      <c r="V54" s="707">
        <f t="shared" si="14"/>
        <v>567.464678732111</v>
      </c>
      <c r="W54" s="636">
        <f t="shared" si="15"/>
        <v>1</v>
      </c>
      <c r="X54" s="636">
        <f t="shared" si="16"/>
        <v>4.1376263787786137E-3</v>
      </c>
      <c r="Y54" s="707">
        <f t="shared" si="17"/>
        <v>420.62751844652553</v>
      </c>
      <c r="Z54" s="635">
        <f t="shared" si="18"/>
        <v>2.5409382312011362</v>
      </c>
      <c r="AA54" s="707">
        <f t="shared" si="19"/>
        <v>152.2247822982504</v>
      </c>
      <c r="AB54" s="707">
        <f t="shared" si="20"/>
        <v>4998.4570108728785</v>
      </c>
    </row>
    <row r="55" spans="1:28"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21"/>
        <v>0</v>
      </c>
      <c r="I55" s="27">
        <f t="shared" si="3"/>
        <v>2</v>
      </c>
      <c r="J55" s="739">
        <f>IF(Weather_Site!M53&lt;180,Weather_Site!M53+180,Weather_Site!M53-180)</f>
        <v>27</v>
      </c>
      <c r="K55" s="635">
        <f t="shared" si="4"/>
        <v>5.5338199999999986</v>
      </c>
      <c r="L55" s="635">
        <f t="shared" si="5"/>
        <v>6.8848000000000011</v>
      </c>
      <c r="M55" s="635">
        <f t="shared" si="6"/>
        <v>7.0407799999999998</v>
      </c>
      <c r="N55" s="635">
        <f t="shared" si="7"/>
        <v>7.0407799999999998</v>
      </c>
      <c r="O55" s="636">
        <f t="shared" si="8"/>
        <v>0.77914610406181672</v>
      </c>
      <c r="P55" s="635">
        <f>IF($O$11,Weather_Site!H53,IF(0.191*(Weather_Site!K53+104)*(Weather_Site!J53+1)^1.5/(3.52*(Weather_Site!J53+1)^1.5+Weather_Site!I53-1)&gt;10, 10,0.191*(Weather_Site!K53+104)*(Weather_Site!J53+1)^1.5/(3.52*(Weather_Site!J53+1)^1.5+Weather_Site!I53-1)))</f>
        <v>8.8000000000000007</v>
      </c>
      <c r="Q55" s="636">
        <f t="shared" si="9"/>
        <v>0.97947601629684489</v>
      </c>
      <c r="R55" s="636">
        <f t="shared" si="10"/>
        <v>0.76315492211967517</v>
      </c>
      <c r="S55" s="635">
        <f t="shared" si="11"/>
        <v>1</v>
      </c>
      <c r="T55" s="707">
        <f t="shared" si="12"/>
        <v>2.2894647663590253E-2</v>
      </c>
      <c r="U55" s="707">
        <f t="shared" si="13"/>
        <v>277.67082828542743</v>
      </c>
      <c r="V55" s="707">
        <f t="shared" si="14"/>
        <v>337.69561179463943</v>
      </c>
      <c r="W55" s="636">
        <f t="shared" si="15"/>
        <v>1</v>
      </c>
      <c r="X55" s="636">
        <f t="shared" si="16"/>
        <v>0</v>
      </c>
      <c r="Y55" s="707">
        <f t="shared" si="17"/>
        <v>277.67082828542743</v>
      </c>
      <c r="Z55" s="635">
        <f t="shared" si="18"/>
        <v>1.8818649722092713</v>
      </c>
      <c r="AA55" s="707">
        <f t="shared" si="19"/>
        <v>119.56201700199253</v>
      </c>
      <c r="AB55" s="707">
        <f t="shared" si="20"/>
        <v>3299.6550094584964</v>
      </c>
    </row>
    <row r="56" spans="1:28"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21"/>
        <v>0</v>
      </c>
      <c r="I56" s="27">
        <f t="shared" si="3"/>
        <v>2</v>
      </c>
      <c r="J56" s="739">
        <f>IF(Weather_Site!M54&lt;180,Weather_Site!M54+180,Weather_Site!M54-180)</f>
        <v>17</v>
      </c>
      <c r="K56" s="635">
        <f t="shared" si="4"/>
        <v>6.1528400000000003</v>
      </c>
      <c r="L56" s="635">
        <f t="shared" si="5"/>
        <v>7.7792000000000012</v>
      </c>
      <c r="M56" s="635">
        <f t="shared" si="6"/>
        <v>8.0771599999999992</v>
      </c>
      <c r="N56" s="635">
        <f t="shared" si="7"/>
        <v>8.0771599999999992</v>
      </c>
      <c r="O56" s="636">
        <f t="shared" si="8"/>
        <v>0.68482166567154035</v>
      </c>
      <c r="P56" s="635">
        <f>IF($O$11,Weather_Site!H54,IF(0.191*(Weather_Site!K54+104)*(Weather_Site!J54+1)^1.5/(3.52*(Weather_Site!J54+1)^1.5+Weather_Site!I54-1)&gt;10, 10,0.191*(Weather_Site!K54+104)*(Weather_Site!J54+1)^1.5/(3.52*(Weather_Site!J54+1)^1.5+Weather_Site!I54-1)))</f>
        <v>8.8000000000000007</v>
      </c>
      <c r="Q56" s="636">
        <f t="shared" si="9"/>
        <v>0.97947601629684489</v>
      </c>
      <c r="R56" s="636">
        <f t="shared" si="10"/>
        <v>0.67076639696573015</v>
      </c>
      <c r="S56" s="635">
        <f t="shared" si="11"/>
        <v>1</v>
      </c>
      <c r="T56" s="707">
        <f t="shared" si="12"/>
        <v>2.0122991908971904E-2</v>
      </c>
      <c r="U56" s="707">
        <f t="shared" si="13"/>
        <v>244.05563750304776</v>
      </c>
      <c r="V56" s="707">
        <f t="shared" si="14"/>
        <v>296.81374283150728</v>
      </c>
      <c r="W56" s="636">
        <f t="shared" si="15"/>
        <v>1</v>
      </c>
      <c r="X56" s="636">
        <f t="shared" si="16"/>
        <v>0</v>
      </c>
      <c r="Y56" s="707">
        <f t="shared" si="17"/>
        <v>244.05563750304776</v>
      </c>
      <c r="Z56" s="635">
        <f t="shared" si="18"/>
        <v>1.7142356314677452</v>
      </c>
      <c r="AA56" s="707">
        <f t="shared" si="19"/>
        <v>105.08768407812943</v>
      </c>
      <c r="AB56" s="707">
        <f t="shared" si="20"/>
        <v>2900.1944923278843</v>
      </c>
    </row>
    <row r="57" spans="1:28"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21"/>
        <v>0</v>
      </c>
      <c r="I57" s="27">
        <f t="shared" si="3"/>
        <v>1.6666666666666667</v>
      </c>
      <c r="J57" s="739">
        <f>IF(Weather_Site!M55&lt;180,Weather_Site!M55+180,Weather_Site!M55-180)</f>
        <v>8</v>
      </c>
      <c r="K57" s="635">
        <f t="shared" si="4"/>
        <v>6.696769999999999</v>
      </c>
      <c r="L57" s="635">
        <f t="shared" si="5"/>
        <v>8.5576000000000008</v>
      </c>
      <c r="M57" s="635">
        <f t="shared" si="6"/>
        <v>8.9807299999999994</v>
      </c>
      <c r="N57" s="635">
        <f t="shared" si="7"/>
        <v>8.9807299999999994</v>
      </c>
      <c r="O57" s="636">
        <f t="shared" si="8"/>
        <v>0.60282869973953668</v>
      </c>
      <c r="P57" s="635">
        <f>IF($O$11,Weather_Site!H55,IF(0.191*(Weather_Site!K55+104)*(Weather_Site!J55+1)^1.5/(3.52*(Weather_Site!J55+1)^1.5+Weather_Site!I55-1)&gt;10, 10,0.191*(Weather_Site!K55+104)*(Weather_Site!J55+1)^1.5/(3.52*(Weather_Site!J55+1)^1.5+Weather_Site!I55-1)))</f>
        <v>8.8000000000000007</v>
      </c>
      <c r="Q57" s="636">
        <f t="shared" si="9"/>
        <v>0.97947601629684489</v>
      </c>
      <c r="R57" s="636">
        <f t="shared" si="10"/>
        <v>0.59045625333028828</v>
      </c>
      <c r="S57" s="635">
        <f t="shared" si="11"/>
        <v>1</v>
      </c>
      <c r="T57" s="707">
        <f t="shared" si="12"/>
        <v>1.7713687599908649E-2</v>
      </c>
      <c r="U57" s="707">
        <f t="shared" si="13"/>
        <v>184.81027340432652</v>
      </c>
      <c r="V57" s="707">
        <f t="shared" si="14"/>
        <v>210.26810426825367</v>
      </c>
      <c r="W57" s="636">
        <f t="shared" si="15"/>
        <v>1</v>
      </c>
      <c r="X57" s="636">
        <f t="shared" si="16"/>
        <v>0</v>
      </c>
      <c r="Y57" s="707">
        <f t="shared" si="17"/>
        <v>184.81027340432652</v>
      </c>
      <c r="Z57" s="635">
        <f t="shared" si="18"/>
        <v>1.4020356635943036</v>
      </c>
      <c r="AA57" s="707">
        <f t="shared" si="19"/>
        <v>87.9211576614303</v>
      </c>
      <c r="AB57" s="707">
        <f t="shared" si="20"/>
        <v>2196.1620822880805</v>
      </c>
    </row>
    <row r="58" spans="1:28"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21"/>
        <v>0</v>
      </c>
      <c r="I58" s="27">
        <f t="shared" si="3"/>
        <v>1.6666666666666667</v>
      </c>
      <c r="J58" s="739">
        <f>IF(Weather_Site!M56&lt;180,Weather_Site!M56+180,Weather_Site!M56-180)</f>
        <v>10</v>
      </c>
      <c r="K58" s="635">
        <f t="shared" si="4"/>
        <v>7.1494699999999991</v>
      </c>
      <c r="L58" s="635">
        <f t="shared" si="5"/>
        <v>9.1941000000000006</v>
      </c>
      <c r="M58" s="635">
        <f t="shared" si="6"/>
        <v>9.7220300000000002</v>
      </c>
      <c r="N58" s="635">
        <f t="shared" si="7"/>
        <v>9.7220300000000002</v>
      </c>
      <c r="O58" s="636">
        <f t="shared" si="8"/>
        <v>0.53795497114184299</v>
      </c>
      <c r="P58" s="635">
        <f>IF($O$11,Weather_Site!H56,IF(0.191*(Weather_Site!K56+104)*(Weather_Site!J56+1)^1.5/(3.52*(Weather_Site!J56+1)^1.5+Weather_Site!I56-1)&gt;10, 10,0.191*(Weather_Site!K56+104)*(Weather_Site!J56+1)^1.5/(3.52*(Weather_Site!J56+1)^1.5+Weather_Site!I56-1)))</f>
        <v>8.8000000000000007</v>
      </c>
      <c r="Q58" s="636">
        <f t="shared" si="9"/>
        <v>0.97947601629684489</v>
      </c>
      <c r="R58" s="636">
        <f t="shared" si="10"/>
        <v>0.52691399208109657</v>
      </c>
      <c r="S58" s="635">
        <f t="shared" si="11"/>
        <v>1</v>
      </c>
      <c r="T58" s="707">
        <f t="shared" si="12"/>
        <v>1.5807419762432898E-2</v>
      </c>
      <c r="U58" s="707">
        <f t="shared" si="13"/>
        <v>164.9218183190294</v>
      </c>
      <c r="V58" s="707">
        <f t="shared" si="14"/>
        <v>187.63999128202053</v>
      </c>
      <c r="W58" s="636">
        <f t="shared" si="15"/>
        <v>1</v>
      </c>
      <c r="X58" s="636">
        <f t="shared" si="16"/>
        <v>0</v>
      </c>
      <c r="Y58" s="707">
        <f t="shared" si="17"/>
        <v>164.9218183190294</v>
      </c>
      <c r="Z58" s="635">
        <f t="shared" si="18"/>
        <v>1.2912435360299597</v>
      </c>
      <c r="AA58" s="707">
        <f t="shared" si="19"/>
        <v>78.459475889167166</v>
      </c>
      <c r="AB58" s="707">
        <f t="shared" si="20"/>
        <v>1959.820941024466</v>
      </c>
    </row>
    <row r="59" spans="1:28" x14ac:dyDescent="0.25">
      <c r="A59" s="67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21"/>
        <v>0</v>
      </c>
      <c r="I59" s="413">
        <f t="shared" si="3"/>
        <v>2</v>
      </c>
      <c r="J59" s="413">
        <f>IF(Weather_Site!M57&lt;180,Weather_Site!M57+180,Weather_Site!M57-180)</f>
        <v>87</v>
      </c>
      <c r="K59" s="711">
        <f t="shared" si="4"/>
        <v>7.6840499999999992</v>
      </c>
      <c r="L59" s="711">
        <f t="shared" si="5"/>
        <v>9.9500000000000011</v>
      </c>
      <c r="M59" s="711">
        <f t="shared" si="6"/>
        <v>10.601450000000002</v>
      </c>
      <c r="N59" s="711">
        <f t="shared" si="7"/>
        <v>10.601450000000002</v>
      </c>
      <c r="O59" s="713">
        <f t="shared" si="8"/>
        <v>0.46579656776879452</v>
      </c>
      <c r="P59" s="711">
        <f>IF($O$11,Weather_Site!H57,IF(0.191*(Weather_Site!K57+104)*(Weather_Site!J57+1)^1.5/(3.52*(Weather_Site!J57+1)^1.5+Weather_Site!I57-1)&gt;10, 10,0.191*(Weather_Site!K57+104)*(Weather_Site!J57+1)^1.5/(3.52*(Weather_Site!J57+1)^1.5+Weather_Site!I57-1)))</f>
        <v>8.8000000000000007</v>
      </c>
      <c r="Q59" s="713">
        <f t="shared" si="9"/>
        <v>0.97947601629684489</v>
      </c>
      <c r="R59" s="713">
        <f t="shared" si="10"/>
        <v>0.45623656660292222</v>
      </c>
      <c r="S59" s="711">
        <f t="shared" si="11"/>
        <v>1</v>
      </c>
      <c r="T59" s="716">
        <f t="shared" si="12"/>
        <v>1.3687096998087666E-2</v>
      </c>
      <c r="U59" s="716">
        <f t="shared" si="13"/>
        <v>165.99982738873945</v>
      </c>
      <c r="V59" s="716">
        <f t="shared" si="14"/>
        <v>201.88441693349785</v>
      </c>
      <c r="W59" s="713">
        <f t="shared" si="15"/>
        <v>1</v>
      </c>
      <c r="X59" s="713">
        <f t="shared" si="16"/>
        <v>0</v>
      </c>
      <c r="Y59" s="716">
        <f t="shared" si="17"/>
        <v>165.99982738873945</v>
      </c>
      <c r="Z59" s="711">
        <f t="shared" si="18"/>
        <v>1.2973402876549145</v>
      </c>
      <c r="AA59" s="716">
        <f t="shared" si="19"/>
        <v>71.477707280717993</v>
      </c>
      <c r="AB59" s="716">
        <f t="shared" si="20"/>
        <v>1972.6312821361869</v>
      </c>
    </row>
    <row r="60" spans="1:28" x14ac:dyDescent="0.25">
      <c r="A60" s="67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21"/>
        <v>0</v>
      </c>
      <c r="I60" s="413">
        <f t="shared" si="3"/>
        <v>2</v>
      </c>
      <c r="J60" s="413">
        <f>IF(Weather_Site!M58&lt;180,Weather_Site!M58+180,Weather_Site!M58-180)</f>
        <v>65</v>
      </c>
      <c r="K60" s="711">
        <f t="shared" si="4"/>
        <v>8.3159599999999987</v>
      </c>
      <c r="L60" s="711">
        <f t="shared" si="5"/>
        <v>10.836600000000001</v>
      </c>
      <c r="M60" s="711">
        <f t="shared" si="6"/>
        <v>11.63444</v>
      </c>
      <c r="N60" s="711">
        <f t="shared" si="7"/>
        <v>11.63444</v>
      </c>
      <c r="O60" s="713">
        <f t="shared" si="8"/>
        <v>0.3899674709307569</v>
      </c>
      <c r="P60" s="711">
        <f>IF($O$11,Weather_Site!H58,IF(0.191*(Weather_Site!K58+104)*(Weather_Site!J58+1)^1.5/(3.52*(Weather_Site!J58+1)^1.5+Weather_Site!I58-1)&gt;10, 10,0.191*(Weather_Site!K58+104)*(Weather_Site!J58+1)^1.5/(3.52*(Weather_Site!J58+1)^1.5+Weather_Site!I58-1)))</f>
        <v>8.8000000000000007</v>
      </c>
      <c r="Q60" s="713">
        <f t="shared" si="9"/>
        <v>0.97947601629684489</v>
      </c>
      <c r="R60" s="713">
        <f t="shared" si="10"/>
        <v>0.3819637849126134</v>
      </c>
      <c r="S60" s="711">
        <f t="shared" si="11"/>
        <v>1</v>
      </c>
      <c r="T60" s="716">
        <f t="shared" si="12"/>
        <v>1.1458913547378402E-2</v>
      </c>
      <c r="U60" s="716">
        <f t="shared" si="13"/>
        <v>138.97597651226343</v>
      </c>
      <c r="V60" s="716">
        <f t="shared" si="14"/>
        <v>169.01875397880707</v>
      </c>
      <c r="W60" s="713">
        <f t="shared" si="15"/>
        <v>1</v>
      </c>
      <c r="X60" s="713">
        <f t="shared" si="16"/>
        <v>0</v>
      </c>
      <c r="Y60" s="716">
        <f t="shared" si="17"/>
        <v>138.97597651226343</v>
      </c>
      <c r="Z60" s="711">
        <f t="shared" si="18"/>
        <v>1.14093659890223</v>
      </c>
      <c r="AA60" s="716">
        <f t="shared" si="19"/>
        <v>59.841533117578123</v>
      </c>
      <c r="AB60" s="716">
        <f t="shared" si="20"/>
        <v>1651.4978542207305</v>
      </c>
    </row>
    <row r="61" spans="1:28" x14ac:dyDescent="0.25">
      <c r="A61" s="67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21"/>
        <v>0</v>
      </c>
      <c r="I61" s="413">
        <f t="shared" si="3"/>
        <v>2</v>
      </c>
      <c r="J61" s="413">
        <f>IF(Weather_Site!M59&lt;180,Weather_Site!M59+180,Weather_Site!M59-180)</f>
        <v>46</v>
      </c>
      <c r="K61" s="711">
        <f t="shared" si="4"/>
        <v>8.6799900000000001</v>
      </c>
      <c r="L61" s="711">
        <f t="shared" si="5"/>
        <v>11.350300000000001</v>
      </c>
      <c r="M61" s="711">
        <f t="shared" si="6"/>
        <v>12.23231</v>
      </c>
      <c r="N61" s="711">
        <f t="shared" si="7"/>
        <v>12.23231</v>
      </c>
      <c r="O61" s="713">
        <f t="shared" si="8"/>
        <v>0.35127249247835024</v>
      </c>
      <c r="P61" s="711">
        <f>IF($O$11,Weather_Site!H59,IF(0.191*(Weather_Site!K59+104)*(Weather_Site!J59+1)^1.5/(3.52*(Weather_Site!J59+1)^1.5+Weather_Site!I59-1)&gt;10, 10,0.191*(Weather_Site!K59+104)*(Weather_Site!J59+1)^1.5/(3.52*(Weather_Site!J59+1)^1.5+Weather_Site!I59-1)))</f>
        <v>8.8000000000000007</v>
      </c>
      <c r="Q61" s="713">
        <f t="shared" si="9"/>
        <v>0.97947601629684489</v>
      </c>
      <c r="R61" s="713">
        <f t="shared" si="10"/>
        <v>0.34406298156735793</v>
      </c>
      <c r="S61" s="711">
        <f t="shared" si="11"/>
        <v>1</v>
      </c>
      <c r="T61" s="716">
        <f t="shared" si="12"/>
        <v>1.0321889447020737E-2</v>
      </c>
      <c r="U61" s="716">
        <f t="shared" si="13"/>
        <v>125.18592268108358</v>
      </c>
      <c r="V61" s="716">
        <f t="shared" si="14"/>
        <v>152.24767041213738</v>
      </c>
      <c r="W61" s="713">
        <f t="shared" si="15"/>
        <v>1</v>
      </c>
      <c r="X61" s="713">
        <f t="shared" si="16"/>
        <v>0</v>
      </c>
      <c r="Y61" s="716">
        <f t="shared" si="17"/>
        <v>125.18592268108358</v>
      </c>
      <c r="Z61" s="711">
        <f t="shared" si="18"/>
        <v>1.0579099610422988</v>
      </c>
      <c r="AA61" s="716">
        <f t="shared" si="19"/>
        <v>53.903686996677401</v>
      </c>
      <c r="AB61" s="716">
        <f t="shared" si="20"/>
        <v>1487.6260478602098</v>
      </c>
    </row>
    <row r="62" spans="1:28" x14ac:dyDescent="0.25">
      <c r="A62" s="67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21"/>
        <v>0</v>
      </c>
      <c r="I62" s="413">
        <f t="shared" si="3"/>
        <v>2</v>
      </c>
      <c r="J62" s="413">
        <f>IF(Weather_Site!M60&lt;180,Weather_Site!M60+180,Weather_Site!M60-180)</f>
        <v>36</v>
      </c>
      <c r="K62" s="711">
        <f t="shared" si="4"/>
        <v>9.2033499999999986</v>
      </c>
      <c r="L62" s="711">
        <f t="shared" si="5"/>
        <v>12.0792</v>
      </c>
      <c r="M62" s="711">
        <f t="shared" si="6"/>
        <v>13.082750000000001</v>
      </c>
      <c r="N62" s="711">
        <f t="shared" si="7"/>
        <v>13.082750000000001</v>
      </c>
      <c r="O62" s="713">
        <f t="shared" si="8"/>
        <v>0.30341561420298202</v>
      </c>
      <c r="P62" s="711">
        <f>IF($O$11,Weather_Site!H60,IF(0.191*(Weather_Site!K60+104)*(Weather_Site!J60+1)^1.5/(3.52*(Weather_Site!J60+1)^1.5+Weather_Site!I60-1)&gt;10, 10,0.191*(Weather_Site!K60+104)*(Weather_Site!J60+1)^1.5/(3.52*(Weather_Site!J60+1)^1.5+Weather_Site!I60-1)))</f>
        <v>8.8000000000000007</v>
      </c>
      <c r="Q62" s="713">
        <f t="shared" si="9"/>
        <v>0.97947601629684489</v>
      </c>
      <c r="R62" s="713">
        <f t="shared" si="10"/>
        <v>0.29718831708179722</v>
      </c>
      <c r="S62" s="711">
        <f t="shared" si="11"/>
        <v>1</v>
      </c>
      <c r="T62" s="716">
        <f t="shared" si="12"/>
        <v>8.9156495124539156E-3</v>
      </c>
      <c r="U62" s="716">
        <f t="shared" si="13"/>
        <v>108.1307658105025</v>
      </c>
      <c r="V62" s="716">
        <f t="shared" si="14"/>
        <v>131.50565847941795</v>
      </c>
      <c r="W62" s="713">
        <f t="shared" si="15"/>
        <v>1</v>
      </c>
      <c r="X62" s="713">
        <f t="shared" si="16"/>
        <v>0</v>
      </c>
      <c r="Y62" s="716">
        <f t="shared" si="17"/>
        <v>108.1307658105025</v>
      </c>
      <c r="Z62" s="711">
        <f t="shared" si="18"/>
        <v>0.95161529196033945</v>
      </c>
      <c r="AA62" s="716">
        <f t="shared" si="19"/>
        <v>46.559923273554297</v>
      </c>
      <c r="AB62" s="716">
        <f t="shared" si="20"/>
        <v>1284.9539337148049</v>
      </c>
    </row>
    <row r="63" spans="1:28" x14ac:dyDescent="0.25">
      <c r="A63" s="67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si="21"/>
        <v>0</v>
      </c>
      <c r="I63" s="413">
        <f t="shared" si="3"/>
        <v>3</v>
      </c>
      <c r="J63" s="413">
        <f>IF(Weather_Site!M61&lt;180,Weather_Site!M61+180,Weather_Site!M61-180)</f>
        <v>8</v>
      </c>
      <c r="K63" s="711">
        <f t="shared" si="4"/>
        <v>10.226449999999998</v>
      </c>
      <c r="L63" s="711">
        <f t="shared" si="5"/>
        <v>13.4931</v>
      </c>
      <c r="M63" s="711">
        <f t="shared" si="6"/>
        <v>14.73485</v>
      </c>
      <c r="N63" s="711">
        <f t="shared" si="7"/>
        <v>14.73485</v>
      </c>
      <c r="O63" s="713">
        <f t="shared" si="8"/>
        <v>0.23534725054282379</v>
      </c>
      <c r="P63" s="711">
        <f>IF($O$11,Weather_Site!H61,IF(0.191*(Weather_Site!K61+104)*(Weather_Site!J61+1)^1.5/(3.52*(Weather_Site!J61+1)^1.5+Weather_Site!I61-1)&gt;10, 10,0.191*(Weather_Site!K61+104)*(Weather_Site!J61+1)^1.5/(3.52*(Weather_Site!J61+1)^1.5+Weather_Site!I61-1)))</f>
        <v>8.8000000000000007</v>
      </c>
      <c r="Q63" s="713">
        <f t="shared" si="9"/>
        <v>0.97947601629684489</v>
      </c>
      <c r="R63" s="713">
        <f t="shared" si="10"/>
        <v>0.2305169874081005</v>
      </c>
      <c r="S63" s="711">
        <f t="shared" si="11"/>
        <v>1</v>
      </c>
      <c r="T63" s="716">
        <f t="shared" si="12"/>
        <v>35.715201853712017</v>
      </c>
      <c r="U63" s="716">
        <f t="shared" si="13"/>
        <v>117.22419877808684</v>
      </c>
      <c r="V63" s="716">
        <f t="shared" si="14"/>
        <v>165.34445610581042</v>
      </c>
      <c r="W63" s="713">
        <f t="shared" si="15"/>
        <v>1</v>
      </c>
      <c r="X63" s="713">
        <f t="shared" si="16"/>
        <v>0</v>
      </c>
      <c r="Y63" s="716">
        <f t="shared" si="17"/>
        <v>117.22419877808684</v>
      </c>
      <c r="Z63" s="711">
        <f t="shared" si="18"/>
        <v>1.0088243869081801</v>
      </c>
      <c r="AA63" s="716">
        <f t="shared" si="19"/>
        <v>39.289515611371108</v>
      </c>
      <c r="AB63" s="716">
        <f t="shared" si="20"/>
        <v>1393.0142288129318</v>
      </c>
    </row>
    <row r="64" spans="1:28"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21"/>
        <v>0</v>
      </c>
      <c r="I64" s="27">
        <f t="shared" si="3"/>
        <v>3.3333333333333335</v>
      </c>
      <c r="J64" s="739">
        <f>IF(Weather_Site!M62&lt;180,Weather_Site!M62+180,Weather_Site!M62-180)</f>
        <v>9</v>
      </c>
      <c r="K64" s="635">
        <f t="shared" si="4"/>
        <v>10.597269999999998</v>
      </c>
      <c r="L64" s="635">
        <f t="shared" si="5"/>
        <v>14.010199999999999</v>
      </c>
      <c r="M64" s="635">
        <f t="shared" si="6"/>
        <v>15.33803</v>
      </c>
      <c r="N64" s="635">
        <f t="shared" si="7"/>
        <v>14.010199999999999</v>
      </c>
      <c r="O64" s="636">
        <f t="shared" si="8"/>
        <v>0.26118135354576921</v>
      </c>
      <c r="P64" s="635">
        <f>IF($O$11,Weather_Site!H62,IF(0.191*(Weather_Site!K62+104)*(Weather_Site!J62+1)^1.5/(3.52*(Weather_Site!J62+1)^1.5+Weather_Site!I62-1)&gt;10, 10,0.191*(Weather_Site!K62+104)*(Weather_Site!J62+1)^1.5/(3.52*(Weather_Site!J62+1)^1.5+Weather_Site!I62-1)))</f>
        <v>8.8000000000000007</v>
      </c>
      <c r="Q64" s="636">
        <f t="shared" si="9"/>
        <v>0.97947601629684489</v>
      </c>
      <c r="R64" s="636">
        <f t="shared" si="10"/>
        <v>0.25582087170202783</v>
      </c>
      <c r="S64" s="635">
        <f t="shared" si="11"/>
        <v>1</v>
      </c>
      <c r="T64" s="707">
        <f t="shared" si="12"/>
        <v>44.541164293788043</v>
      </c>
      <c r="U64" s="707">
        <f t="shared" si="13"/>
        <v>141.91614798887829</v>
      </c>
      <c r="V64" s="707">
        <f t="shared" si="14"/>
        <v>208.03320524555224</v>
      </c>
      <c r="W64" s="636">
        <f t="shared" si="15"/>
        <v>1</v>
      </c>
      <c r="X64" s="636">
        <f t="shared" si="16"/>
        <v>0</v>
      </c>
      <c r="Y64" s="707">
        <f t="shared" si="17"/>
        <v>141.91614798887829</v>
      </c>
      <c r="Z64" s="635">
        <f t="shared" si="18"/>
        <v>1.1583374181722019</v>
      </c>
      <c r="AA64" s="707">
        <f t="shared" si="19"/>
        <v>44.293429459699837</v>
      </c>
      <c r="AB64" s="707">
        <f t="shared" si="20"/>
        <v>1686.4368919345038</v>
      </c>
    </row>
    <row r="65" spans="1:28"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21"/>
        <v>0</v>
      </c>
      <c r="I65" s="27">
        <f t="shared" si="3"/>
        <v>4</v>
      </c>
      <c r="J65" s="739">
        <f>IF(Weather_Site!M63&lt;180,Weather_Site!M63+180,Weather_Site!M63-180)</f>
        <v>358</v>
      </c>
      <c r="K65" s="635">
        <f t="shared" si="4"/>
        <v>9.7309399999999986</v>
      </c>
      <c r="L65" s="635">
        <f t="shared" si="5"/>
        <v>12.792400000000001</v>
      </c>
      <c r="M65" s="635">
        <f t="shared" si="6"/>
        <v>13.91966</v>
      </c>
      <c r="N65" s="635">
        <f t="shared" si="7"/>
        <v>12.792400000000001</v>
      </c>
      <c r="O65" s="636">
        <f t="shared" si="8"/>
        <v>0.31878170417944363</v>
      </c>
      <c r="P65" s="635">
        <f>IF($O$11,Weather_Site!H63,IF(0.191*(Weather_Site!K63+104)*(Weather_Site!J63+1)^1.5/(3.52*(Weather_Site!J63+1)^1.5+Weather_Site!I63-1)&gt;10, 10,0.191*(Weather_Site!K63+104)*(Weather_Site!J63+1)^1.5/(3.52*(Weather_Site!J63+1)^1.5+Weather_Site!I63-1)))</f>
        <v>8.8000000000000007</v>
      </c>
      <c r="Q65" s="636">
        <f t="shared" si="9"/>
        <v>0.97947601629684489</v>
      </c>
      <c r="R65" s="636">
        <f t="shared" si="10"/>
        <v>0.31223903367800071</v>
      </c>
      <c r="S65" s="635">
        <f t="shared" si="11"/>
        <v>1</v>
      </c>
      <c r="T65" s="707">
        <f t="shared" si="12"/>
        <v>66.158484997627269</v>
      </c>
      <c r="U65" s="707">
        <f t="shared" si="13"/>
        <v>201.3548975780347</v>
      </c>
      <c r="V65" s="707">
        <f t="shared" si="14"/>
        <v>315.50839183577932</v>
      </c>
      <c r="W65" s="636">
        <f t="shared" si="15"/>
        <v>1</v>
      </c>
      <c r="X65" s="636">
        <f t="shared" si="16"/>
        <v>0</v>
      </c>
      <c r="Y65" s="707">
        <f t="shared" si="17"/>
        <v>201.3548975780347</v>
      </c>
      <c r="Z65" s="635">
        <f t="shared" si="18"/>
        <v>1.4916974678294341</v>
      </c>
      <c r="AA65" s="707">
        <f t="shared" si="19"/>
        <v>55.244429756923473</v>
      </c>
      <c r="AB65" s="707">
        <f t="shared" si="20"/>
        <v>2392.7673662189786</v>
      </c>
    </row>
    <row r="66" spans="1:28"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21"/>
        <v>0</v>
      </c>
      <c r="I66" s="27">
        <f t="shared" si="3"/>
        <v>5.333333333333333</v>
      </c>
      <c r="J66" s="739">
        <f>IF(Weather_Site!M64&lt;180,Weather_Site!M64+180,Weather_Site!M64-180)</f>
        <v>3</v>
      </c>
      <c r="K66" s="635">
        <f t="shared" si="4"/>
        <v>8.3796299999999988</v>
      </c>
      <c r="L66" s="635">
        <f t="shared" si="5"/>
        <v>10.8863</v>
      </c>
      <c r="M66" s="635">
        <f t="shared" si="6"/>
        <v>11.701070000000001</v>
      </c>
      <c r="N66" s="635">
        <f t="shared" si="7"/>
        <v>10.8863</v>
      </c>
      <c r="O66" s="636">
        <f t="shared" si="8"/>
        <v>0.443831934564692</v>
      </c>
      <c r="P66" s="635">
        <f>IF($O$11,Weather_Site!H64,IF(0.191*(Weather_Site!K64+104)*(Weather_Site!J64+1)^1.5/(3.52*(Weather_Site!J64+1)^1.5+Weather_Site!I64-1)&gt;10, 10,0.191*(Weather_Site!K64+104)*(Weather_Site!J64+1)^1.5/(3.52*(Weather_Site!J64+1)^1.5+Weather_Site!I64-1)))</f>
        <v>8.8000000000000007</v>
      </c>
      <c r="Q66" s="636">
        <f t="shared" si="9"/>
        <v>0.97947601629684489</v>
      </c>
      <c r="R66" s="636">
        <f t="shared" si="10"/>
        <v>0.43472273517274646</v>
      </c>
      <c r="S66" s="635">
        <f t="shared" si="11"/>
        <v>1</v>
      </c>
      <c r="T66" s="707">
        <f t="shared" si="12"/>
        <v>124.19815890967344</v>
      </c>
      <c r="U66" s="707">
        <f t="shared" si="13"/>
        <v>355.50689010665877</v>
      </c>
      <c r="V66" s="707">
        <f t="shared" si="14"/>
        <v>618.83246936634464</v>
      </c>
      <c r="W66" s="636">
        <f t="shared" si="15"/>
        <v>1</v>
      </c>
      <c r="X66" s="636">
        <f t="shared" si="16"/>
        <v>1.239581073262346E-7</v>
      </c>
      <c r="Y66" s="707">
        <f t="shared" si="17"/>
        <v>355.50692274799917</v>
      </c>
      <c r="Z66" s="635">
        <f t="shared" si="18"/>
        <v>2.2499829787096459</v>
      </c>
      <c r="AA66" s="707">
        <f t="shared" si="19"/>
        <v>78.54076589519245</v>
      </c>
      <c r="AB66" s="707">
        <f t="shared" si="20"/>
        <v>4224.6072653220563</v>
      </c>
    </row>
    <row r="67" spans="1:28"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21"/>
        <v>0</v>
      </c>
      <c r="I67" s="27">
        <f t="shared" si="3"/>
        <v>3.3333333333333335</v>
      </c>
      <c r="J67" s="739">
        <f>IF(Weather_Site!M65&lt;180,Weather_Site!M65+180,Weather_Site!M65-180)</f>
        <v>359</v>
      </c>
      <c r="K67" s="635">
        <f t="shared" si="4"/>
        <v>7.5603400000000001</v>
      </c>
      <c r="L67" s="635">
        <f t="shared" si="5"/>
        <v>9.7170000000000005</v>
      </c>
      <c r="M67" s="635">
        <f t="shared" si="6"/>
        <v>10.343060000000001</v>
      </c>
      <c r="N67" s="635">
        <f t="shared" si="7"/>
        <v>9.7170000000000005</v>
      </c>
      <c r="O67" s="636">
        <f t="shared" si="8"/>
        <v>0.53838432289984517</v>
      </c>
      <c r="P67" s="635">
        <f>IF($O$11,Weather_Site!H65,IF(0.191*(Weather_Site!K65+104)*(Weather_Site!J65+1)^1.5/(3.52*(Weather_Site!J65+1)^1.5+Weather_Site!I65-1)&gt;10, 10,0.191*(Weather_Site!K65+104)*(Weather_Site!J65+1)^1.5/(3.52*(Weather_Site!J65+1)^1.5+Weather_Site!I65-1)))</f>
        <v>8.8000000000000007</v>
      </c>
      <c r="Q67" s="636">
        <f t="shared" si="9"/>
        <v>0.97947601629684489</v>
      </c>
      <c r="R67" s="636">
        <f t="shared" si="10"/>
        <v>0.52733453183061452</v>
      </c>
      <c r="S67" s="635">
        <f t="shared" si="11"/>
        <v>1</v>
      </c>
      <c r="T67" s="707">
        <f t="shared" si="12"/>
        <v>91.814611778093706</v>
      </c>
      <c r="U67" s="707">
        <f t="shared" si="13"/>
        <v>292.53784087675018</v>
      </c>
      <c r="V67" s="707">
        <f t="shared" si="14"/>
        <v>428.82776594227295</v>
      </c>
      <c r="W67" s="636">
        <f t="shared" si="15"/>
        <v>1</v>
      </c>
      <c r="X67" s="636">
        <f t="shared" si="16"/>
        <v>0</v>
      </c>
      <c r="Y67" s="707">
        <f t="shared" si="17"/>
        <v>292.53784087675018</v>
      </c>
      <c r="Z67" s="635">
        <f t="shared" si="18"/>
        <v>1.9541851427422559</v>
      </c>
      <c r="AA67" s="707">
        <f t="shared" si="19"/>
        <v>91.303945342306548</v>
      </c>
      <c r="AB67" s="707">
        <f t="shared" si="20"/>
        <v>3476.3246757520478</v>
      </c>
    </row>
    <row r="68" spans="1:28"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21"/>
        <v>0</v>
      </c>
      <c r="I68" s="27">
        <f t="shared" si="3"/>
        <v>4.666666666666667</v>
      </c>
      <c r="J68" s="739">
        <f>IF(Weather_Site!M66&lt;180,Weather_Site!M66+180,Weather_Site!M66-180)</f>
        <v>338</v>
      </c>
      <c r="K68" s="635">
        <f t="shared" si="4"/>
        <v>6.40625</v>
      </c>
      <c r="L68" s="635">
        <f t="shared" si="5"/>
        <v>8.0914000000000001</v>
      </c>
      <c r="M68" s="635">
        <f t="shared" si="6"/>
        <v>8.45045</v>
      </c>
      <c r="N68" s="635">
        <f t="shared" si="7"/>
        <v>8.0914000000000001</v>
      </c>
      <c r="O68" s="636">
        <f t="shared" si="8"/>
        <v>0.6835179122060423</v>
      </c>
      <c r="P68" s="635">
        <f>IF($O$11,Weather_Site!H66,IF(0.191*(Weather_Site!K66+104)*(Weather_Site!J66+1)^1.5/(3.52*(Weather_Site!J66+1)^1.5+Weather_Site!I66-1)&gt;10, 10,0.191*(Weather_Site!K66+104)*(Weather_Site!J66+1)^1.5/(3.52*(Weather_Site!J66+1)^1.5+Weather_Site!I66-1)))</f>
        <v>8.8000000000000007</v>
      </c>
      <c r="Q68" s="636">
        <f t="shared" si="9"/>
        <v>0.97947601629684489</v>
      </c>
      <c r="R68" s="636">
        <f t="shared" si="10"/>
        <v>0.66948940171511084</v>
      </c>
      <c r="S68" s="635">
        <f t="shared" si="11"/>
        <v>1</v>
      </c>
      <c r="T68" s="707">
        <f t="shared" si="12"/>
        <v>166.72854552815903</v>
      </c>
      <c r="U68" s="707">
        <f t="shared" si="13"/>
        <v>490.33851147410468</v>
      </c>
      <c r="V68" s="707">
        <f t="shared" si="14"/>
        <v>812.86757249095194</v>
      </c>
      <c r="W68" s="636">
        <f t="shared" si="15"/>
        <v>1</v>
      </c>
      <c r="X68" s="636">
        <f t="shared" si="16"/>
        <v>3.7747879329811706E-5</v>
      </c>
      <c r="Y68" s="707">
        <f t="shared" si="17"/>
        <v>490.35068626218032</v>
      </c>
      <c r="Z68" s="635">
        <f t="shared" si="18"/>
        <v>2.8389156639040185</v>
      </c>
      <c r="AA68" s="707">
        <f t="shared" si="19"/>
        <v>120.01925941408368</v>
      </c>
      <c r="AB68" s="707">
        <f t="shared" si="20"/>
        <v>5827.0006550822427</v>
      </c>
    </row>
    <row r="69" spans="1:28" x14ac:dyDescent="0.25">
      <c r="A69" s="67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21"/>
        <v>0</v>
      </c>
      <c r="I69" s="413">
        <f t="shared" si="3"/>
        <v>3.6666666666666665</v>
      </c>
      <c r="J69" s="413">
        <f>IF(Weather_Site!M67&lt;180,Weather_Site!M67+180,Weather_Site!M67-180)</f>
        <v>333</v>
      </c>
      <c r="K69" s="711">
        <f t="shared" si="4"/>
        <v>5.7165699999999999</v>
      </c>
      <c r="L69" s="711">
        <f t="shared" si="5"/>
        <v>7.1046000000000014</v>
      </c>
      <c r="M69" s="711">
        <f t="shared" si="6"/>
        <v>7.3049299999999988</v>
      </c>
      <c r="N69" s="711">
        <f t="shared" si="7"/>
        <v>7.1046000000000014</v>
      </c>
      <c r="O69" s="713">
        <f t="shared" si="8"/>
        <v>0.77341879472556574</v>
      </c>
      <c r="P69" s="711">
        <f>IF($O$11,Weather_Site!H67,IF(0.191*(Weather_Site!K67+104)*(Weather_Site!J67+1)^1.5/(3.52*(Weather_Site!J67+1)^1.5+Weather_Site!I67-1)&gt;10, 10,0.191*(Weather_Site!K67+104)*(Weather_Site!J67+1)^1.5/(3.52*(Weather_Site!J67+1)^1.5+Weather_Site!I67-1)))</f>
        <v>8.8000000000000007</v>
      </c>
      <c r="Q69" s="713">
        <f t="shared" si="9"/>
        <v>0.97947601629684489</v>
      </c>
      <c r="R69" s="713">
        <f t="shared" si="10"/>
        <v>0.7575451599869043</v>
      </c>
      <c r="S69" s="711">
        <f t="shared" si="11"/>
        <v>1</v>
      </c>
      <c r="T69" s="716">
        <f t="shared" si="12"/>
        <v>146.27036440815959</v>
      </c>
      <c r="U69" s="716">
        <f t="shared" si="13"/>
        <v>454.65491904724655</v>
      </c>
      <c r="V69" s="716">
        <f t="shared" si="14"/>
        <v>690.1055049758919</v>
      </c>
      <c r="W69" s="713">
        <f t="shared" si="15"/>
        <v>1</v>
      </c>
      <c r="X69" s="713">
        <f t="shared" si="16"/>
        <v>1.6597856740668864E-4</v>
      </c>
      <c r="Y69" s="716">
        <f t="shared" si="17"/>
        <v>454.69399879819406</v>
      </c>
      <c r="Z69" s="711">
        <f t="shared" si="18"/>
        <v>2.6881102783179314</v>
      </c>
      <c r="AA69" s="716">
        <f t="shared" si="19"/>
        <v>132.78063275265566</v>
      </c>
      <c r="AB69" s="716">
        <f t="shared" si="20"/>
        <v>5403.2803523852053</v>
      </c>
    </row>
    <row r="70" spans="1:28" x14ac:dyDescent="0.25">
      <c r="A70" s="67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21"/>
        <v>0</v>
      </c>
      <c r="I70" s="413">
        <f t="shared" si="3"/>
        <v>3.6666666666666665</v>
      </c>
      <c r="J70" s="413">
        <f>IF(Weather_Site!M68&lt;180,Weather_Site!M68+180,Weather_Site!M68-180)</f>
        <v>342</v>
      </c>
      <c r="K70" s="711">
        <f t="shared" si="4"/>
        <v>5.3363999999999994</v>
      </c>
      <c r="L70" s="711">
        <f t="shared" si="5"/>
        <v>6.5650000000000013</v>
      </c>
      <c r="M70" s="711">
        <f t="shared" si="6"/>
        <v>6.6776000000000009</v>
      </c>
      <c r="N70" s="711">
        <f t="shared" si="7"/>
        <v>6.5650000000000013</v>
      </c>
      <c r="O70" s="713">
        <f t="shared" si="8"/>
        <v>0.82117575057615111</v>
      </c>
      <c r="P70" s="711">
        <f>IF($O$11,Weather_Site!H68,IF(0.191*(Weather_Site!K68+104)*(Weather_Site!J68+1)^1.5/(3.52*(Weather_Site!J68+1)^1.5+Weather_Site!I68-1)&gt;10, 10,0.191*(Weather_Site!K68+104)*(Weather_Site!J68+1)^1.5/(3.52*(Weather_Site!J68+1)^1.5+Weather_Site!I68-1)))</f>
        <v>8.8000000000000007</v>
      </c>
      <c r="Q70" s="713">
        <f t="shared" si="9"/>
        <v>0.97947601629684489</v>
      </c>
      <c r="R70" s="713">
        <f t="shared" si="10"/>
        <v>0.80432195285390007</v>
      </c>
      <c r="S70" s="711">
        <f t="shared" si="11"/>
        <v>1</v>
      </c>
      <c r="T70" s="716">
        <f t="shared" si="12"/>
        <v>155.3022464660144</v>
      </c>
      <c r="U70" s="716">
        <f t="shared" si="13"/>
        <v>482.72888756762023</v>
      </c>
      <c r="V70" s="716">
        <f t="shared" si="14"/>
        <v>732.71804343259441</v>
      </c>
      <c r="W70" s="713">
        <f t="shared" si="15"/>
        <v>1</v>
      </c>
      <c r="X70" s="713">
        <f t="shared" si="16"/>
        <v>5.8317818685728448E-4</v>
      </c>
      <c r="Y70" s="716">
        <f t="shared" si="17"/>
        <v>482.87467579027157</v>
      </c>
      <c r="Z70" s="711">
        <f t="shared" si="18"/>
        <v>2.8075556688913688</v>
      </c>
      <c r="AA70" s="716">
        <f t="shared" si="19"/>
        <v>141.01000928345741</v>
      </c>
      <c r="AB70" s="716">
        <f t="shared" si="20"/>
        <v>5738.1607306410606</v>
      </c>
    </row>
    <row r="71" spans="1:28" x14ac:dyDescent="0.25">
      <c r="A71" s="67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21"/>
        <v>0</v>
      </c>
      <c r="I71" s="413">
        <f t="shared" si="3"/>
        <v>3.6666666666666665</v>
      </c>
      <c r="J71" s="413">
        <f>IF(Weather_Site!M69&lt;180,Weather_Site!M69+180,Weather_Site!M69-180)</f>
        <v>18</v>
      </c>
      <c r="K71" s="711">
        <f t="shared" si="4"/>
        <v>4.9363499999999991</v>
      </c>
      <c r="L71" s="711">
        <f t="shared" si="5"/>
        <v>5.9905000000000008</v>
      </c>
      <c r="M71" s="711">
        <f t="shared" si="6"/>
        <v>6.0111499999999998</v>
      </c>
      <c r="N71" s="711">
        <f t="shared" si="7"/>
        <v>4.9363499999999991</v>
      </c>
      <c r="O71" s="713">
        <f t="shared" si="8"/>
        <v>0.94897276793813146</v>
      </c>
      <c r="P71" s="711">
        <f>IF($O$11,Weather_Site!H69,IF(0.191*(Weather_Site!K69+104)*(Weather_Site!J69+1)^1.5/(3.52*(Weather_Site!J69+1)^1.5+Weather_Site!I69-1)&gt;10, 10,0.191*(Weather_Site!K69+104)*(Weather_Site!J69+1)^1.5/(3.52*(Weather_Site!J69+1)^1.5+Weather_Site!I69-1)))</f>
        <v>8.9000009999999996</v>
      </c>
      <c r="Q71" s="713">
        <f t="shared" si="9"/>
        <v>0.98194519810002745</v>
      </c>
      <c r="R71" s="713">
        <f t="shared" si="10"/>
        <v>0.93183925260453992</v>
      </c>
      <c r="S71" s="711">
        <f t="shared" si="11"/>
        <v>1</v>
      </c>
      <c r="T71" s="716">
        <f t="shared" si="12"/>
        <v>179.92388341659969</v>
      </c>
      <c r="U71" s="716">
        <f t="shared" si="13"/>
        <v>559.26078382612559</v>
      </c>
      <c r="V71" s="716">
        <f t="shared" si="14"/>
        <v>848.88325071752877</v>
      </c>
      <c r="W71" s="713">
        <f t="shared" si="15"/>
        <v>1</v>
      </c>
      <c r="X71" s="713">
        <f t="shared" si="16"/>
        <v>1.7643080642503441E-2</v>
      </c>
      <c r="Y71" s="716">
        <f t="shared" si="17"/>
        <v>564.37061636537135</v>
      </c>
      <c r="Z71" s="711">
        <f t="shared" si="18"/>
        <v>3.1426581405112608</v>
      </c>
      <c r="AA71" s="716">
        <f t="shared" si="19"/>
        <v>164.80861358643014</v>
      </c>
      <c r="AB71" s="716">
        <f t="shared" si="20"/>
        <v>6706.604157808496</v>
      </c>
    </row>
    <row r="72" spans="1:28" x14ac:dyDescent="0.25">
      <c r="A72" s="67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21"/>
        <v>0</v>
      </c>
      <c r="I72" s="413">
        <f t="shared" si="3"/>
        <v>3.6666666666666665</v>
      </c>
      <c r="J72" s="413">
        <f>IF(Weather_Site!M70&lt;180,Weather_Site!M70+180,Weather_Site!M70-180)</f>
        <v>28</v>
      </c>
      <c r="K72" s="711">
        <f t="shared" si="4"/>
        <v>4.4792199999999998</v>
      </c>
      <c r="L72" s="711">
        <f t="shared" si="5"/>
        <v>5.3304000000000009</v>
      </c>
      <c r="M72" s="711">
        <f t="shared" si="6"/>
        <v>5.2461800000000007</v>
      </c>
      <c r="N72" s="711">
        <f t="shared" si="7"/>
        <v>4.4792199999999998</v>
      </c>
      <c r="O72" s="713">
        <f t="shared" si="8"/>
        <v>0.97779449319624634</v>
      </c>
      <c r="P72" s="711">
        <f>IF($O$11,Weather_Site!H70,IF(0.191*(Weather_Site!K70+104)*(Weather_Site!J70+1)^1.5/(3.52*(Weather_Site!J70+1)^1.5+Weather_Site!I70-1)&gt;10, 10,0.191*(Weather_Site!K70+104)*(Weather_Site!J70+1)^1.5/(3.52*(Weather_Site!J70+1)^1.5+Weather_Site!I70-1)))</f>
        <v>8.9000009999999996</v>
      </c>
      <c r="Q72" s="713">
        <f t="shared" si="9"/>
        <v>0.98194519810002745</v>
      </c>
      <c r="R72" s="713">
        <f t="shared" si="10"/>
        <v>0.96014060732270401</v>
      </c>
      <c r="S72" s="711">
        <f t="shared" si="11"/>
        <v>1</v>
      </c>
      <c r="T72" s="716">
        <f t="shared" si="12"/>
        <v>185.38844142122349</v>
      </c>
      <c r="U72" s="716">
        <f t="shared" si="13"/>
        <v>576.24637203651923</v>
      </c>
      <c r="V72" s="716">
        <f t="shared" si="14"/>
        <v>874.6651073260748</v>
      </c>
      <c r="W72" s="713">
        <f t="shared" si="15"/>
        <v>1</v>
      </c>
      <c r="X72" s="713">
        <f t="shared" si="16"/>
        <v>3.7002782738476236E-2</v>
      </c>
      <c r="Y72" s="716">
        <f t="shared" si="17"/>
        <v>587.28869566352955</v>
      </c>
      <c r="Z72" s="711">
        <f t="shared" si="18"/>
        <v>3.2344155816676161</v>
      </c>
      <c r="AA72" s="716">
        <f t="shared" si="19"/>
        <v>171.50119602369162</v>
      </c>
      <c r="AB72" s="716">
        <f t="shared" si="20"/>
        <v>6978.9473334682771</v>
      </c>
    </row>
    <row r="73" spans="1:28" x14ac:dyDescent="0.25">
      <c r="A73" s="67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21"/>
        <v>0</v>
      </c>
      <c r="I73" s="413">
        <f t="shared" si="3"/>
        <v>3</v>
      </c>
      <c r="J73" s="413">
        <f>IF(Weather_Site!M71&lt;180,Weather_Site!M71+180,Weather_Site!M71-180)</f>
        <v>32</v>
      </c>
      <c r="K73" s="711">
        <f t="shared" si="4"/>
        <v>4.2001199999999992</v>
      </c>
      <c r="L73" s="711">
        <f t="shared" si="5"/>
        <v>4.9305000000000003</v>
      </c>
      <c r="M73" s="711">
        <f t="shared" si="6"/>
        <v>4.7820800000000006</v>
      </c>
      <c r="N73" s="711">
        <f t="shared" si="7"/>
        <v>4.2001199999999992</v>
      </c>
      <c r="O73" s="713">
        <f t="shared" si="8"/>
        <v>0.99331211167244549</v>
      </c>
      <c r="P73" s="711">
        <f>IF($O$11,Weather_Site!H71,IF(0.191*(Weather_Site!K71+104)*(Weather_Site!J71+1)^1.5/(3.52*(Weather_Site!J71+1)^1.5+Weather_Site!I71-1)&gt;10, 10,0.191*(Weather_Site!K71+104)*(Weather_Site!J71+1)^1.5/(3.52*(Weather_Site!J71+1)^1.5+Weather_Site!I71-1)))</f>
        <v>8.9000009999999996</v>
      </c>
      <c r="Q73" s="713">
        <f t="shared" si="9"/>
        <v>0.98194519810002745</v>
      </c>
      <c r="R73" s="713">
        <f t="shared" si="10"/>
        <v>0.97537805827135604</v>
      </c>
      <c r="S73" s="711">
        <f t="shared" si="11"/>
        <v>1</v>
      </c>
      <c r="T73" s="716">
        <f t="shared" si="12"/>
        <v>151.12042121724784</v>
      </c>
      <c r="U73" s="716">
        <f t="shared" si="13"/>
        <v>496.00644478389501</v>
      </c>
      <c r="V73" s="716">
        <f t="shared" si="14"/>
        <v>699.61592139370282</v>
      </c>
      <c r="W73" s="713">
        <f t="shared" si="15"/>
        <v>1</v>
      </c>
      <c r="X73" s="713">
        <f t="shared" si="16"/>
        <v>3.1075249404712187E-2</v>
      </c>
      <c r="Y73" s="716">
        <f t="shared" si="17"/>
        <v>502.33366005070769</v>
      </c>
      <c r="Z73" s="711">
        <f t="shared" si="18"/>
        <v>2.8889066076025558</v>
      </c>
      <c r="AA73" s="716">
        <f t="shared" si="19"/>
        <v>168.36494840149743</v>
      </c>
      <c r="AB73" s="716">
        <f t="shared" si="20"/>
        <v>5969.3983269359096</v>
      </c>
    </row>
    <row r="74" spans="1:28"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21"/>
        <v>0</v>
      </c>
      <c r="I74" s="27">
        <f t="shared" si="3"/>
        <v>3.6666666666666665</v>
      </c>
      <c r="J74" s="739">
        <f>IF(Weather_Site!M72&lt;180,Weather_Site!M72+180,Weather_Site!M72-180)</f>
        <v>36</v>
      </c>
      <c r="K74" s="635">
        <f t="shared" si="4"/>
        <v>4.0716900000000003</v>
      </c>
      <c r="L74" s="635">
        <f t="shared" si="5"/>
        <v>4.7378999999999998</v>
      </c>
      <c r="M74" s="635">
        <f t="shared" si="6"/>
        <v>4.5604100000000001</v>
      </c>
      <c r="N74" s="635">
        <f t="shared" si="7"/>
        <v>4.0716900000000003</v>
      </c>
      <c r="O74" s="636">
        <f t="shared" si="8"/>
        <v>1</v>
      </c>
      <c r="P74" s="635">
        <f>IF($O$11,Weather_Site!H72,IF(0.191*(Weather_Site!K72+104)*(Weather_Site!J72+1)^1.5/(3.52*(Weather_Site!J72+1)^1.5+Weather_Site!I72-1)&gt;10, 10,0.191*(Weather_Site!K72+104)*(Weather_Site!J72+1)^1.5/(3.52*(Weather_Site!J72+1)^1.5+Weather_Site!I72-1)))</f>
        <v>8.9000009999999996</v>
      </c>
      <c r="Q74" s="636">
        <f t="shared" si="9"/>
        <v>0.98194519810002745</v>
      </c>
      <c r="R74" s="636">
        <f t="shared" si="10"/>
        <v>0.98194519810002745</v>
      </c>
      <c r="S74" s="635">
        <f t="shared" si="11"/>
        <v>1</v>
      </c>
      <c r="T74" s="707">
        <f t="shared" si="12"/>
        <v>189.59857384266886</v>
      </c>
      <c r="U74" s="707">
        <f t="shared" si="13"/>
        <v>589.33280566232941</v>
      </c>
      <c r="V74" s="707">
        <f t="shared" si="14"/>
        <v>894.52856751825345</v>
      </c>
      <c r="W74" s="636">
        <f t="shared" si="15"/>
        <v>1</v>
      </c>
      <c r="X74" s="636">
        <f t="shared" si="16"/>
        <v>6.4579815605411289E-2</v>
      </c>
      <c r="Y74" s="707">
        <f t="shared" si="17"/>
        <v>609.04229168653796</v>
      </c>
      <c r="Z74" s="635">
        <f t="shared" si="18"/>
        <v>3.3205971496150131</v>
      </c>
      <c r="AA74" s="707">
        <f t="shared" si="19"/>
        <v>177.85372377249678</v>
      </c>
      <c r="AB74" s="707">
        <f t="shared" si="20"/>
        <v>7237.4525662083597</v>
      </c>
    </row>
    <row r="75" spans="1:28"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21"/>
        <v>0</v>
      </c>
      <c r="I75" s="27">
        <f t="shared" si="3"/>
        <v>3.3333333333333335</v>
      </c>
      <c r="J75" s="739">
        <f>IF(Weather_Site!M73&lt;180,Weather_Site!M73+180,Weather_Site!M73-180)</f>
        <v>38</v>
      </c>
      <c r="K75" s="635">
        <f t="shared" si="4"/>
        <v>3.9221999999999997</v>
      </c>
      <c r="L75" s="635">
        <f t="shared" si="5"/>
        <v>4.5205000000000002</v>
      </c>
      <c r="M75" s="635">
        <f t="shared" si="6"/>
        <v>4.3088000000000006</v>
      </c>
      <c r="N75" s="635">
        <f t="shared" si="7"/>
        <v>3.9221999999999997</v>
      </c>
      <c r="O75" s="636">
        <f t="shared" si="8"/>
        <v>1</v>
      </c>
      <c r="P75" s="635">
        <f>IF($O$11,Weather_Site!H73,IF(0.191*(Weather_Site!K73+104)*(Weather_Site!J73+1)^1.5/(3.52*(Weather_Site!J73+1)^1.5+Weather_Site!I73-1)&gt;10, 10,0.191*(Weather_Site!K73+104)*(Weather_Site!J73+1)^1.5/(3.52*(Weather_Site!J73+1)^1.5+Weather_Site!I73-1)))</f>
        <v>8.9000009999999996</v>
      </c>
      <c r="Q75" s="636">
        <f t="shared" si="9"/>
        <v>0.98194519810002745</v>
      </c>
      <c r="R75" s="636">
        <f t="shared" si="10"/>
        <v>0.98194519810002745</v>
      </c>
      <c r="S75" s="635">
        <f t="shared" si="11"/>
        <v>1</v>
      </c>
      <c r="T75" s="707">
        <f t="shared" si="12"/>
        <v>170.96721665077055</v>
      </c>
      <c r="U75" s="707">
        <f t="shared" si="13"/>
        <v>544.73225395325437</v>
      </c>
      <c r="V75" s="707">
        <f t="shared" si="14"/>
        <v>798.51657754556936</v>
      </c>
      <c r="W75" s="636">
        <f t="shared" si="15"/>
        <v>1</v>
      </c>
      <c r="X75" s="636">
        <f t="shared" si="16"/>
        <v>4.8883626838535435E-2</v>
      </c>
      <c r="Y75" s="707">
        <f t="shared" si="17"/>
        <v>557.13815212521126</v>
      </c>
      <c r="Z75" s="635">
        <f t="shared" si="18"/>
        <v>3.1134884575342583</v>
      </c>
      <c r="AA75" s="707">
        <f t="shared" si="19"/>
        <v>173.88831214894233</v>
      </c>
      <c r="AB75" s="707">
        <f t="shared" si="20"/>
        <v>6620.6583744212603</v>
      </c>
    </row>
    <row r="76" spans="1:28"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21"/>
        <v>0</v>
      </c>
      <c r="I76" s="27">
        <f t="shared" si="3"/>
        <v>4</v>
      </c>
      <c r="J76" s="739">
        <f>IF(Weather_Site!M74&lt;180,Weather_Site!M74+180,Weather_Site!M74-180)</f>
        <v>25</v>
      </c>
      <c r="K76" s="635">
        <f t="shared" si="4"/>
        <v>4.0307499999999994</v>
      </c>
      <c r="L76" s="635">
        <f t="shared" si="5"/>
        <v>4.6782000000000004</v>
      </c>
      <c r="M76" s="635">
        <f t="shared" si="6"/>
        <v>4.4913500000000006</v>
      </c>
      <c r="N76" s="635">
        <f t="shared" si="7"/>
        <v>4.6782000000000004</v>
      </c>
      <c r="O76" s="636">
        <f t="shared" si="8"/>
        <v>0.96573883672672778</v>
      </c>
      <c r="P76" s="635">
        <f>IF($O$11,Weather_Site!H74,IF(0.191*(Weather_Site!K74+104)*(Weather_Site!J74+1)^1.5/(3.52*(Weather_Site!J74+1)^1.5+Weather_Site!I74-1)&gt;10, 10,0.191*(Weather_Site!K74+104)*(Weather_Site!J74+1)^1.5/(3.52*(Weather_Site!J74+1)^1.5+Weather_Site!I74-1)))</f>
        <v>8.9000009999999996</v>
      </c>
      <c r="Q76" s="636">
        <f t="shared" si="9"/>
        <v>0.98194519810002745</v>
      </c>
      <c r="R76" s="636">
        <f t="shared" si="10"/>
        <v>0.94830261334251675</v>
      </c>
      <c r="S76" s="635">
        <f t="shared" si="11"/>
        <v>1</v>
      </c>
      <c r="T76" s="707">
        <f t="shared" si="12"/>
        <v>200.93024078062908</v>
      </c>
      <c r="U76" s="707">
        <f t="shared" si="13"/>
        <v>611.5358907351706</v>
      </c>
      <c r="V76" s="707">
        <f t="shared" si="14"/>
        <v>958.23199612484814</v>
      </c>
      <c r="W76" s="636">
        <f t="shared" si="15"/>
        <v>1</v>
      </c>
      <c r="X76" s="636">
        <f t="shared" si="16"/>
        <v>3.6190934509254716E-2</v>
      </c>
      <c r="Y76" s="707">
        <f t="shared" si="17"/>
        <v>624.08314677994213</v>
      </c>
      <c r="Z76" s="635">
        <f t="shared" si="18"/>
        <v>3.3796862007772499</v>
      </c>
      <c r="AA76" s="707">
        <f t="shared" si="19"/>
        <v>171.2256219216259</v>
      </c>
      <c r="AB76" s="707">
        <f t="shared" si="20"/>
        <v>7416.1880609016462</v>
      </c>
    </row>
    <row r="77" spans="1:28"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21"/>
        <v>0</v>
      </c>
      <c r="I77" s="27">
        <f t="shared" si="3"/>
        <v>3.6666666666666665</v>
      </c>
      <c r="J77" s="739">
        <f>IF(Weather_Site!M75&lt;180,Weather_Site!M75+180,Weather_Site!M75-180)</f>
        <v>22</v>
      </c>
      <c r="K77" s="635">
        <f t="shared" si="4"/>
        <v>4.0468900000000003</v>
      </c>
      <c r="L77" s="635">
        <f t="shared" si="5"/>
        <v>4.7041000000000004</v>
      </c>
      <c r="M77" s="635">
        <f t="shared" si="6"/>
        <v>4.5208100000000009</v>
      </c>
      <c r="N77" s="635">
        <f t="shared" si="7"/>
        <v>4.7041000000000004</v>
      </c>
      <c r="O77" s="636">
        <f t="shared" si="8"/>
        <v>0.96411245305149762</v>
      </c>
      <c r="P77" s="635">
        <f>IF($O$11,Weather_Site!H75,IF(0.191*(Weather_Site!K75+104)*(Weather_Site!J75+1)^1.5/(3.52*(Weather_Site!J75+1)^1.5+Weather_Site!I75-1)&gt;10, 10,0.191*(Weather_Site!K75+104)*(Weather_Site!J75+1)^1.5/(3.52*(Weather_Site!J75+1)^1.5+Weather_Site!I75-1)))</f>
        <v>8.9000009999999996</v>
      </c>
      <c r="Q77" s="636">
        <f t="shared" si="9"/>
        <v>0.98194519810002745</v>
      </c>
      <c r="R77" s="636">
        <f t="shared" si="10"/>
        <v>0.9467055937023563</v>
      </c>
      <c r="S77" s="635">
        <f t="shared" si="11"/>
        <v>1</v>
      </c>
      <c r="T77" s="707">
        <f t="shared" si="12"/>
        <v>182.79434612252101</v>
      </c>
      <c r="U77" s="707">
        <f t="shared" si="13"/>
        <v>568.18309693082995</v>
      </c>
      <c r="V77" s="707">
        <f t="shared" si="14"/>
        <v>862.42613155466563</v>
      </c>
      <c r="W77" s="636">
        <f t="shared" si="15"/>
        <v>1</v>
      </c>
      <c r="X77" s="636">
        <f t="shared" si="16"/>
        <v>2.608148668049496E-2</v>
      </c>
      <c r="Y77" s="707">
        <f t="shared" si="17"/>
        <v>575.85739271919988</v>
      </c>
      <c r="Z77" s="635">
        <f t="shared" si="18"/>
        <v>3.188774365740672</v>
      </c>
      <c r="AA77" s="707">
        <f t="shared" si="19"/>
        <v>168.16300453194717</v>
      </c>
      <c r="AB77" s="707">
        <f t="shared" si="20"/>
        <v>6843.1053501464921</v>
      </c>
    </row>
    <row r="78" spans="1:28"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21"/>
        <v>0</v>
      </c>
      <c r="I78" s="27">
        <f t="shared" si="3"/>
        <v>3.6666666666666665</v>
      </c>
      <c r="J78" s="739">
        <f>IF(Weather_Site!M76&lt;180,Weather_Site!M76+180,Weather_Site!M76-180)</f>
        <v>26</v>
      </c>
      <c r="K78" s="635">
        <f t="shared" si="4"/>
        <v>4.3402599999999998</v>
      </c>
      <c r="L78" s="635">
        <f t="shared" si="5"/>
        <v>5.1254000000000008</v>
      </c>
      <c r="M78" s="635">
        <f t="shared" si="6"/>
        <v>5.0095399999999994</v>
      </c>
      <c r="N78" s="635">
        <f t="shared" si="7"/>
        <v>5.0095399999999994</v>
      </c>
      <c r="O78" s="636">
        <f t="shared" si="8"/>
        <v>0.94400332614783655</v>
      </c>
      <c r="P78" s="635">
        <f>IF($O$11,Weather_Site!H76,IF(0.191*(Weather_Site!K76+104)*(Weather_Site!J76+1)^1.5/(3.52*(Weather_Site!J76+1)^1.5+Weather_Site!I76-1)&gt;10, 10,0.191*(Weather_Site!K76+104)*(Weather_Site!J76+1)^1.5/(3.52*(Weather_Site!J76+1)^1.5+Weather_Site!I76-1)))</f>
        <v>8.9000009999999996</v>
      </c>
      <c r="Q78" s="636">
        <f t="shared" si="9"/>
        <v>0.98194519810002745</v>
      </c>
      <c r="R78" s="636">
        <f t="shared" si="10"/>
        <v>0.92695953310132218</v>
      </c>
      <c r="S78" s="635">
        <f t="shared" si="11"/>
        <v>1</v>
      </c>
      <c r="T78" s="707">
        <f t="shared" si="12"/>
        <v>178.9816843403656</v>
      </c>
      <c r="U78" s="707">
        <f t="shared" si="13"/>
        <v>556.33212875327547</v>
      </c>
      <c r="V78" s="707">
        <f t="shared" si="14"/>
        <v>844.43794307149085</v>
      </c>
      <c r="W78" s="636">
        <f t="shared" si="15"/>
        <v>1</v>
      </c>
      <c r="X78" s="636">
        <f t="shared" si="16"/>
        <v>1.5508367479778594E-2</v>
      </c>
      <c r="Y78" s="707">
        <f t="shared" si="17"/>
        <v>560.80017959478323</v>
      </c>
      <c r="Z78" s="635">
        <f t="shared" si="18"/>
        <v>3.1282710232570308</v>
      </c>
      <c r="AA78" s="707">
        <f t="shared" si="19"/>
        <v>163.7659676424434</v>
      </c>
      <c r="AB78" s="707">
        <f t="shared" si="20"/>
        <v>6664.1754675180073</v>
      </c>
    </row>
    <row r="79" spans="1:28" x14ac:dyDescent="0.25">
      <c r="A79" s="67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21"/>
        <v>0</v>
      </c>
      <c r="I79" s="413">
        <f t="shared" ref="I79:I142" si="22">G79/$O$10</f>
        <v>3</v>
      </c>
      <c r="J79" s="413">
        <f>IF(Weather_Site!M77&lt;180,Weather_Site!M77+180,Weather_Site!M77-180)</f>
        <v>19</v>
      </c>
      <c r="K79" s="711">
        <f t="shared" ref="K79:K142" si="23">2.76+0.124*E79-0.0187*D79</f>
        <v>5.1174299999999997</v>
      </c>
      <c r="L79" s="711">
        <f t="shared" ref="L79:L142" si="24">3.6+0.169*E79-0.045*D79</f>
        <v>6.2451000000000008</v>
      </c>
      <c r="M79" s="711">
        <f t="shared" ref="M79:M142" si="25">3.08+0.198*E79-0.0483*D79</f>
        <v>6.3076699999999999</v>
      </c>
      <c r="N79" s="711">
        <f t="shared" ref="N79:N142" si="26">IF(AND(OR(MONTH(B79)&gt;10,MONTH(B79)&lt;3),AND(HOUR(C79)&gt;=13,HOUR(C79)&lt;=17)),K79,IF(OR(HOUR(C79)&lt;6,HOUR(C79)&gt;=20),M79,L79))</f>
        <v>6.3076699999999999</v>
      </c>
      <c r="O79" s="713">
        <f t="shared" ref="O79:O142" si="27">IF(N79&lt;=4.1,1,IF(N79&gt;=24,0,(0.9082+0.1206*N79-0.03106*N79^2+0.001853*N79^3-0.00003467*N79^4)))</f>
        <v>0.84327953916030596</v>
      </c>
      <c r="P79" s="711">
        <f>IF($O$11,Weather_Site!H77,IF(0.191*(Weather_Site!K77+104)*(Weather_Site!J77+1)^1.5/(3.52*(Weather_Site!J77+1)^1.5+Weather_Site!I77-1)&gt;10, 10,0.191*(Weather_Site!K77+104)*(Weather_Site!J77+1)^1.5/(3.52*(Weather_Site!J77+1)^1.5+Weather_Site!I77-1)))</f>
        <v>8.9000009999999996</v>
      </c>
      <c r="Q79" s="713">
        <f t="shared" ref="Q79:Q142" si="28">1.008/(1+104.9*EXP(-0.9306*P79))</f>
        <v>0.98194519810002745</v>
      </c>
      <c r="R79" s="713">
        <f t="shared" ref="R79:R142" si="29">O79*Q79</f>
        <v>0.82805429413446652</v>
      </c>
      <c r="S79" s="711">
        <f t="shared" ref="S79:S142" si="30">MIN(IF(H79&gt;0,2^(H79/10),(2^(-H79/10))/(2*(2^(-H79/10))-1)),4)</f>
        <v>1</v>
      </c>
      <c r="T79" s="716">
        <f t="shared" ref="T79:T142" si="31">IF(I79&gt;2,(0.03+0.05024*(I79-1)^0.92628*(($E$6+$E$7)/10)^0.79928)*1000*R79*S79,0.03*R79*S79)</f>
        <v>128.29478032561795</v>
      </c>
      <c r="U79" s="716">
        <f t="shared" ref="U79:U142" si="32">(0.19591*(I79)^0.82569*(($E$6+$E$7)/10)^0.46722)*$C$10^0.495*1000*R79*S79</f>
        <v>421.08827755422971</v>
      </c>
      <c r="V79" s="716">
        <f t="shared" ref="V79:V142" si="33">(0.05235*(G79)^1.19128)*1000*R79*S79</f>
        <v>593.94402308128065</v>
      </c>
      <c r="W79" s="713">
        <f t="shared" ref="W79:W142" si="34">IF((E$6+E$7)&lt;1,0,1/(1+EXP(-(-23.9315+1.7033*I79+12.0822*R79+9.5236*($E$6+$E$7)))))</f>
        <v>1</v>
      </c>
      <c r="X79" s="713">
        <f t="shared" ref="X79:X142" si="35">IF(U79&lt;300,0,1/(1+EXP(-(-32.3074+0.2951*G79+26.8734*R79))))</f>
        <v>6.1157222945640451E-4</v>
      </c>
      <c r="Y79" s="716">
        <f t="shared" ref="Y79:Y142" si="36">IF(W79&lt;0.5,(T79*(1-W79)+U79*W79),(T79*(1-W79)+U79*W79*(1-X79)+V79*X79))</f>
        <v>421.19399132789601</v>
      </c>
      <c r="Z79" s="711">
        <f t="shared" ref="Z79:Z142" si="37">0.0193*Y79^0.723*EXP(0.64*$C$10)</f>
        <v>2.54341185061153</v>
      </c>
      <c r="AA79" s="716">
        <f t="shared" ref="AA79:AA142" si="38">(1/(0.2204*G79+1))*Y79</f>
        <v>141.169724938965</v>
      </c>
      <c r="AB79" s="716">
        <f t="shared" ref="AB79:AB142" si="39">18600*Y79/3600*$F$11/10</f>
        <v>5005.1885969464984</v>
      </c>
    </row>
    <row r="80" spans="1:28" x14ac:dyDescent="0.25">
      <c r="A80" s="67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21"/>
        <v>0</v>
      </c>
      <c r="I80" s="413">
        <f t="shared" si="22"/>
        <v>2.6666666666666665</v>
      </c>
      <c r="J80" s="413">
        <f>IF(Weather_Site!M78&lt;180,Weather_Site!M78+180,Weather_Site!M78-180)</f>
        <v>12</v>
      </c>
      <c r="K80" s="711">
        <f t="shared" si="23"/>
        <v>5.7345799999999993</v>
      </c>
      <c r="L80" s="711">
        <f t="shared" si="24"/>
        <v>7.1350000000000007</v>
      </c>
      <c r="M80" s="711">
        <f t="shared" si="25"/>
        <v>7.339220000000001</v>
      </c>
      <c r="N80" s="711">
        <f t="shared" si="26"/>
        <v>7.339220000000001</v>
      </c>
      <c r="O80" s="713">
        <f t="shared" si="27"/>
        <v>0.75222926946876079</v>
      </c>
      <c r="P80" s="711">
        <f>IF($O$11,Weather_Site!H78,IF(0.191*(Weather_Site!K78+104)*(Weather_Site!J78+1)^1.5/(3.52*(Weather_Site!J78+1)^1.5+Weather_Site!I78-1)&gt;10, 10,0.191*(Weather_Site!K78+104)*(Weather_Site!J78+1)^1.5/(3.52*(Weather_Site!J78+1)^1.5+Weather_Site!I78-1)))</f>
        <v>8.9000009999999996</v>
      </c>
      <c r="Q80" s="713">
        <f t="shared" si="28"/>
        <v>0.98194519810002745</v>
      </c>
      <c r="R80" s="713">
        <f t="shared" si="29"/>
        <v>0.73864791902514126</v>
      </c>
      <c r="S80" s="711">
        <f t="shared" si="30"/>
        <v>1</v>
      </c>
      <c r="T80" s="716">
        <f t="shared" si="31"/>
        <v>100.1026651198594</v>
      </c>
      <c r="U80" s="716">
        <f t="shared" si="32"/>
        <v>340.8126374634287</v>
      </c>
      <c r="V80" s="716">
        <f t="shared" si="33"/>
        <v>460.45501176548055</v>
      </c>
      <c r="W80" s="713">
        <f t="shared" si="34"/>
        <v>1</v>
      </c>
      <c r="X80" s="713">
        <f t="shared" si="35"/>
        <v>4.1216980819851593E-5</v>
      </c>
      <c r="Y80" s="716">
        <f t="shared" si="36"/>
        <v>340.81756876087559</v>
      </c>
      <c r="Z80" s="711">
        <f t="shared" si="37"/>
        <v>2.1823754673618421</v>
      </c>
      <c r="AA80" s="716">
        <f t="shared" si="38"/>
        <v>123.34162158398797</v>
      </c>
      <c r="AB80" s="716">
        <f t="shared" si="39"/>
        <v>4050.0487754417381</v>
      </c>
    </row>
    <row r="81" spans="1:28" x14ac:dyDescent="0.25">
      <c r="A81" s="67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21"/>
        <v>0</v>
      </c>
      <c r="I81" s="413">
        <f t="shared" si="22"/>
        <v>2.3333333333333335</v>
      </c>
      <c r="J81" s="413">
        <f>IF(Weather_Site!M79&lt;180,Weather_Site!M79+180,Weather_Site!M79-180)</f>
        <v>5</v>
      </c>
      <c r="K81" s="711">
        <f t="shared" si="23"/>
        <v>6.2078500000000005</v>
      </c>
      <c r="L81" s="711">
        <f t="shared" si="24"/>
        <v>7.8210000000000006</v>
      </c>
      <c r="M81" s="711">
        <f t="shared" si="25"/>
        <v>8.1336499999999994</v>
      </c>
      <c r="N81" s="711">
        <f t="shared" si="26"/>
        <v>8.1336499999999994</v>
      </c>
      <c r="O81" s="713">
        <f t="shared" si="27"/>
        <v>0.67965044982292178</v>
      </c>
      <c r="P81" s="711">
        <f>IF($O$11,Weather_Site!H79,IF(0.191*(Weather_Site!K79+104)*(Weather_Site!J79+1)^1.5/(3.52*(Weather_Site!J79+1)^1.5+Weather_Site!I79-1)&gt;10, 10,0.191*(Weather_Site!K79+104)*(Weather_Site!J79+1)^1.5/(3.52*(Weather_Site!J79+1)^1.5+Weather_Site!I79-1)))</f>
        <v>8.9000009999999996</v>
      </c>
      <c r="Q81" s="713">
        <f t="shared" si="28"/>
        <v>0.98194519810002745</v>
      </c>
      <c r="R81" s="713">
        <f t="shared" si="29"/>
        <v>0.66737949559014165</v>
      </c>
      <c r="S81" s="711">
        <f t="shared" si="30"/>
        <v>1</v>
      </c>
      <c r="T81" s="716">
        <f t="shared" si="31"/>
        <v>77.294124681640696</v>
      </c>
      <c r="U81" s="716">
        <f t="shared" si="32"/>
        <v>275.78313248328169</v>
      </c>
      <c r="V81" s="716">
        <f t="shared" si="33"/>
        <v>354.84438587585817</v>
      </c>
      <c r="W81" s="713">
        <f t="shared" si="34"/>
        <v>1</v>
      </c>
      <c r="X81" s="713">
        <f t="shared" si="35"/>
        <v>0</v>
      </c>
      <c r="Y81" s="716">
        <f t="shared" si="36"/>
        <v>275.78313248328169</v>
      </c>
      <c r="Z81" s="711">
        <f t="shared" si="37"/>
        <v>1.8726065192935684</v>
      </c>
      <c r="AA81" s="716">
        <f t="shared" si="38"/>
        <v>108.4564780884386</v>
      </c>
      <c r="AB81" s="716">
        <f t="shared" si="39"/>
        <v>3277.2228910096637</v>
      </c>
    </row>
    <row r="82" spans="1:28" x14ac:dyDescent="0.25">
      <c r="A82" s="67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21"/>
        <v>0</v>
      </c>
      <c r="I82" s="413">
        <f t="shared" si="22"/>
        <v>2.3333333333333335</v>
      </c>
      <c r="J82" s="413">
        <f>IF(Weather_Site!M80&lt;180,Weather_Site!M80+180,Weather_Site!M80-180)</f>
        <v>2</v>
      </c>
      <c r="K82" s="711">
        <f t="shared" si="23"/>
        <v>6.5346799999999998</v>
      </c>
      <c r="L82" s="711">
        <f t="shared" si="24"/>
        <v>8.2840000000000007</v>
      </c>
      <c r="M82" s="711">
        <f t="shared" si="25"/>
        <v>8.6721200000000014</v>
      </c>
      <c r="N82" s="711">
        <f t="shared" si="26"/>
        <v>8.6721200000000014</v>
      </c>
      <c r="O82" s="713">
        <f t="shared" si="27"/>
        <v>0.63059273188450493</v>
      </c>
      <c r="P82" s="711">
        <f>IF($O$11,Weather_Site!H80,IF(0.191*(Weather_Site!K80+104)*(Weather_Site!J80+1)^1.5/(3.52*(Weather_Site!J80+1)^1.5+Weather_Site!I80-1)&gt;10, 10,0.191*(Weather_Site!K80+104)*(Weather_Site!J80+1)^1.5/(3.52*(Weather_Site!J80+1)^1.5+Weather_Site!I80-1)))</f>
        <v>8.9000009999999996</v>
      </c>
      <c r="Q82" s="713">
        <f t="shared" si="28"/>
        <v>0.98194519810002745</v>
      </c>
      <c r="R82" s="713">
        <f t="shared" si="29"/>
        <v>0.61920750503076771</v>
      </c>
      <c r="S82" s="711">
        <f t="shared" si="30"/>
        <v>1</v>
      </c>
      <c r="T82" s="716">
        <f t="shared" si="31"/>
        <v>71.714972386638607</v>
      </c>
      <c r="U82" s="716">
        <f t="shared" si="32"/>
        <v>255.87688342678095</v>
      </c>
      <c r="V82" s="716">
        <f t="shared" si="33"/>
        <v>329.23143174794717</v>
      </c>
      <c r="W82" s="713">
        <f t="shared" si="34"/>
        <v>1</v>
      </c>
      <c r="X82" s="713">
        <f t="shared" si="35"/>
        <v>0</v>
      </c>
      <c r="Y82" s="716">
        <f t="shared" si="36"/>
        <v>255.87688342678095</v>
      </c>
      <c r="Z82" s="711">
        <f t="shared" si="37"/>
        <v>1.7738730457991085</v>
      </c>
      <c r="AA82" s="716">
        <f t="shared" si="38"/>
        <v>100.62800197686839</v>
      </c>
      <c r="AB82" s="716">
        <f t="shared" si="39"/>
        <v>3040.6702980549135</v>
      </c>
    </row>
    <row r="83" spans="1:28" x14ac:dyDescent="0.25">
      <c r="A83" s="67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si="21"/>
        <v>0</v>
      </c>
      <c r="I83" s="413">
        <f t="shared" si="22"/>
        <v>3</v>
      </c>
      <c r="J83" s="413">
        <f>IF(Weather_Site!M81&lt;180,Weather_Site!M81+180,Weather_Site!M81-180)</f>
        <v>16</v>
      </c>
      <c r="K83" s="711">
        <f t="shared" si="23"/>
        <v>6.7536500000000004</v>
      </c>
      <c r="L83" s="711">
        <f t="shared" si="24"/>
        <v>8.6039000000000012</v>
      </c>
      <c r="M83" s="711">
        <f t="shared" si="25"/>
        <v>9.0420500000000015</v>
      </c>
      <c r="N83" s="711">
        <f t="shared" si="26"/>
        <v>9.0420500000000015</v>
      </c>
      <c r="O83" s="713">
        <f t="shared" si="27"/>
        <v>0.59735591471961325</v>
      </c>
      <c r="P83" s="711">
        <f>IF($O$11,Weather_Site!H81,IF(0.191*(Weather_Site!K81+104)*(Weather_Site!J81+1)^1.5/(3.52*(Weather_Site!J81+1)^1.5+Weather_Site!I81-1)&gt;10, 10,0.191*(Weather_Site!K81+104)*(Weather_Site!J81+1)^1.5/(3.52*(Weather_Site!J81+1)^1.5+Weather_Site!I81-1)))</f>
        <v>8.9000009999999996</v>
      </c>
      <c r="Q83" s="713">
        <f t="shared" si="28"/>
        <v>0.98194519810002745</v>
      </c>
      <c r="R83" s="713">
        <f t="shared" si="29"/>
        <v>0.58657077201557373</v>
      </c>
      <c r="S83" s="711">
        <f t="shared" si="30"/>
        <v>1</v>
      </c>
      <c r="T83" s="716">
        <f t="shared" si="31"/>
        <v>90.880475923171502</v>
      </c>
      <c r="U83" s="716">
        <f t="shared" si="32"/>
        <v>298.28729565356622</v>
      </c>
      <c r="V83" s="716">
        <f t="shared" si="33"/>
        <v>420.73352752428087</v>
      </c>
      <c r="W83" s="713">
        <f t="shared" si="34"/>
        <v>1</v>
      </c>
      <c r="X83" s="713">
        <f t="shared" si="35"/>
        <v>0</v>
      </c>
      <c r="Y83" s="716">
        <f t="shared" si="36"/>
        <v>298.28729565356622</v>
      </c>
      <c r="Z83" s="711">
        <f t="shared" si="37"/>
        <v>1.981878438495227</v>
      </c>
      <c r="AA83" s="716">
        <f t="shared" si="38"/>
        <v>99.97563200615572</v>
      </c>
      <c r="AB83" s="716">
        <f t="shared" si="39"/>
        <v>3544.6473633498781</v>
      </c>
    </row>
    <row r="84" spans="1:28"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93" si="40">C$4</f>
        <v>0</v>
      </c>
      <c r="I84" s="27">
        <f t="shared" si="22"/>
        <v>3.6666666666666665</v>
      </c>
      <c r="J84" s="739">
        <f>IF(Weather_Site!M82&lt;180,Weather_Site!M82+180,Weather_Site!M82-180)</f>
        <v>359</v>
      </c>
      <c r="K84" s="635">
        <f t="shared" si="23"/>
        <v>6.981279999999999</v>
      </c>
      <c r="L84" s="635">
        <f t="shared" si="24"/>
        <v>8.9317000000000011</v>
      </c>
      <c r="M84" s="635">
        <f t="shared" si="25"/>
        <v>9.4221199999999996</v>
      </c>
      <c r="N84" s="635">
        <f t="shared" si="26"/>
        <v>9.4221199999999996</v>
      </c>
      <c r="O84" s="636">
        <f t="shared" si="27"/>
        <v>0.56383474865886041</v>
      </c>
      <c r="P84" s="635">
        <f>IF($O$11,Weather_Site!H82,IF(0.191*(Weather_Site!K82+104)*(Weather_Site!J82+1)^1.5/(3.52*(Weather_Site!J82+1)^1.5+Weather_Site!I82-1)&gt;10, 10,0.191*(Weather_Site!K82+104)*(Weather_Site!J82+1)^1.5/(3.52*(Weather_Site!J82+1)^1.5+Weather_Site!I82-1)))</f>
        <v>8.9000009999999996</v>
      </c>
      <c r="Q84" s="636">
        <f t="shared" si="28"/>
        <v>0.98194519810002745</v>
      </c>
      <c r="R84" s="636">
        <f t="shared" si="29"/>
        <v>0.55365482396750387</v>
      </c>
      <c r="S84" s="635">
        <f t="shared" si="30"/>
        <v>1</v>
      </c>
      <c r="T84" s="707">
        <f t="shared" si="31"/>
        <v>106.90226422865959</v>
      </c>
      <c r="U84" s="707">
        <f t="shared" si="32"/>
        <v>332.28631435704051</v>
      </c>
      <c r="V84" s="707">
        <f t="shared" si="33"/>
        <v>504.36629003482489</v>
      </c>
      <c r="W84" s="636">
        <f t="shared" si="34"/>
        <v>1</v>
      </c>
      <c r="X84" s="636">
        <f t="shared" si="35"/>
        <v>6.9266930413448203E-7</v>
      </c>
      <c r="Y84" s="707">
        <f t="shared" si="36"/>
        <v>332.28643355155754</v>
      </c>
      <c r="Z84" s="635">
        <f t="shared" si="37"/>
        <v>2.142741105860051</v>
      </c>
      <c r="AA84" s="707">
        <f t="shared" si="38"/>
        <v>97.034935624213745</v>
      </c>
      <c r="AB84" s="707">
        <f t="shared" si="39"/>
        <v>3948.6704520376757</v>
      </c>
    </row>
    <row r="85" spans="1:28"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40"/>
        <v>0</v>
      </c>
      <c r="I85" s="27">
        <f t="shared" si="22"/>
        <v>3.6666666666666665</v>
      </c>
      <c r="J85" s="739">
        <f>IF(Weather_Site!M83&lt;180,Weather_Site!M83+180,Weather_Site!M83-180)</f>
        <v>357</v>
      </c>
      <c r="K85" s="635">
        <f t="shared" si="23"/>
        <v>7.5331799999999998</v>
      </c>
      <c r="L85" s="635">
        <f t="shared" si="24"/>
        <v>9.703400000000002</v>
      </c>
      <c r="M85" s="635">
        <f t="shared" si="25"/>
        <v>10.321820000000001</v>
      </c>
      <c r="N85" s="635">
        <f t="shared" si="26"/>
        <v>10.321820000000001</v>
      </c>
      <c r="O85" s="636">
        <f t="shared" si="27"/>
        <v>0.48806791702150337</v>
      </c>
      <c r="P85" s="635">
        <f>IF($O$11,Weather_Site!H83,IF(0.191*(Weather_Site!K83+104)*(Weather_Site!J83+1)^1.5/(3.52*(Weather_Site!J83+1)^1.5+Weather_Site!I83-1)&gt;10, 10,0.191*(Weather_Site!K83+104)*(Weather_Site!J83+1)^1.5/(3.52*(Weather_Site!J83+1)^1.5+Weather_Site!I83-1)))</f>
        <v>8.9000009999999996</v>
      </c>
      <c r="Q85" s="636">
        <f t="shared" si="28"/>
        <v>0.98194519810002745</v>
      </c>
      <c r="R85" s="636">
        <f t="shared" si="29"/>
        <v>0.47925594746594791</v>
      </c>
      <c r="S85" s="635">
        <f t="shared" si="30"/>
        <v>1</v>
      </c>
      <c r="T85" s="707">
        <f t="shared" si="31"/>
        <v>92.536981005639092</v>
      </c>
      <c r="U85" s="707">
        <f t="shared" si="32"/>
        <v>287.63443489205156</v>
      </c>
      <c r="V85" s="707">
        <f t="shared" si="33"/>
        <v>436.59069466486324</v>
      </c>
      <c r="W85" s="636">
        <f t="shared" si="34"/>
        <v>1</v>
      </c>
      <c r="X85" s="636">
        <f t="shared" si="35"/>
        <v>0</v>
      </c>
      <c r="Y85" s="707">
        <f t="shared" si="36"/>
        <v>287.63443489205156</v>
      </c>
      <c r="Z85" s="635">
        <f t="shared" si="37"/>
        <v>1.9304476912428443</v>
      </c>
      <c r="AA85" s="707">
        <f t="shared" si="38"/>
        <v>83.995571455452506</v>
      </c>
      <c r="AB85" s="707">
        <f t="shared" si="39"/>
        <v>3418.0558679672126</v>
      </c>
    </row>
    <row r="86" spans="1:28"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40"/>
        <v>0</v>
      </c>
      <c r="I86" s="27">
        <f t="shared" si="22"/>
        <v>4</v>
      </c>
      <c r="J86" s="739">
        <f>IF(Weather_Site!M84&lt;180,Weather_Site!M84+180,Weather_Site!M84-180)</f>
        <v>1</v>
      </c>
      <c r="K86" s="635">
        <f t="shared" si="23"/>
        <v>7.9660000000000002</v>
      </c>
      <c r="L86" s="635">
        <f t="shared" si="24"/>
        <v>10.305</v>
      </c>
      <c r="M86" s="635">
        <f t="shared" si="25"/>
        <v>11.024000000000001</v>
      </c>
      <c r="N86" s="635">
        <f t="shared" si="26"/>
        <v>11.024000000000001</v>
      </c>
      <c r="O86" s="636">
        <f t="shared" si="27"/>
        <v>0.43349042969821372</v>
      </c>
      <c r="P86" s="635">
        <f>IF($O$11,Weather_Site!H84,IF(0.191*(Weather_Site!K84+104)*(Weather_Site!J84+1)^1.5/(3.52*(Weather_Site!J84+1)^1.5+Weather_Site!I84-1)&gt;10, 10,0.191*(Weather_Site!K84+104)*(Weather_Site!J84+1)^1.5/(3.52*(Weather_Site!J84+1)^1.5+Weather_Site!I84-1)))</f>
        <v>8.9000009999999996</v>
      </c>
      <c r="Q86" s="636">
        <f t="shared" si="28"/>
        <v>0.98194519810002745</v>
      </c>
      <c r="R86" s="636">
        <f t="shared" si="29"/>
        <v>0.42566384586447847</v>
      </c>
      <c r="S86" s="635">
        <f t="shared" si="30"/>
        <v>1</v>
      </c>
      <c r="T86" s="707">
        <f t="shared" si="31"/>
        <v>90.191398650365386</v>
      </c>
      <c r="U86" s="707">
        <f t="shared" si="32"/>
        <v>274.49963278807445</v>
      </c>
      <c r="V86" s="707">
        <f t="shared" si="33"/>
        <v>430.12084007995378</v>
      </c>
      <c r="W86" s="636">
        <f t="shared" si="34"/>
        <v>1</v>
      </c>
      <c r="X86" s="636">
        <f t="shared" si="35"/>
        <v>0</v>
      </c>
      <c r="Y86" s="707">
        <f t="shared" si="36"/>
        <v>274.49963278807445</v>
      </c>
      <c r="Z86" s="635">
        <f t="shared" si="37"/>
        <v>1.8663014000905604</v>
      </c>
      <c r="AA86" s="707">
        <f t="shared" si="38"/>
        <v>75.312673613936141</v>
      </c>
      <c r="AB86" s="707">
        <f t="shared" si="39"/>
        <v>3261.9706362982847</v>
      </c>
    </row>
    <row r="87" spans="1:28"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40"/>
        <v>0</v>
      </c>
      <c r="I87" s="27">
        <f t="shared" si="22"/>
        <v>5.333333333333333</v>
      </c>
      <c r="J87" s="739">
        <f>IF(Weather_Site!M85&lt;180,Weather_Site!M85+180,Weather_Site!M85-180)</f>
        <v>4</v>
      </c>
      <c r="K87" s="635">
        <f t="shared" si="23"/>
        <v>8.5141600000000004</v>
      </c>
      <c r="L87" s="635">
        <f t="shared" si="24"/>
        <v>11.067699999999999</v>
      </c>
      <c r="M87" s="635">
        <f t="shared" si="25"/>
        <v>11.91404</v>
      </c>
      <c r="N87" s="635">
        <f t="shared" si="26"/>
        <v>11.91404</v>
      </c>
      <c r="O87" s="636">
        <f t="shared" si="27"/>
        <v>0.37136880743611833</v>
      </c>
      <c r="P87" s="635">
        <f>IF($O$11,Weather_Site!H85,IF(0.191*(Weather_Site!K85+104)*(Weather_Site!J85+1)^1.5/(3.52*(Weather_Site!J85+1)^1.5+Weather_Site!I85-1)&gt;10, 10,0.191*(Weather_Site!K85+104)*(Weather_Site!J85+1)^1.5/(3.52*(Weather_Site!J85+1)^1.5+Weather_Site!I85-1)))</f>
        <v>8.9000009999999996</v>
      </c>
      <c r="Q87" s="636">
        <f t="shared" si="28"/>
        <v>0.98194519810002745</v>
      </c>
      <c r="R87" s="636">
        <f t="shared" si="29"/>
        <v>0.36466381718603014</v>
      </c>
      <c r="S87" s="635">
        <f t="shared" si="30"/>
        <v>1</v>
      </c>
      <c r="T87" s="707">
        <f t="shared" si="31"/>
        <v>104.1826687474293</v>
      </c>
      <c r="U87" s="707">
        <f t="shared" si="32"/>
        <v>298.21421585119828</v>
      </c>
      <c r="V87" s="707">
        <f t="shared" si="33"/>
        <v>519.10284928648855</v>
      </c>
      <c r="W87" s="636">
        <f t="shared" si="34"/>
        <v>1</v>
      </c>
      <c r="X87" s="636">
        <f t="shared" si="35"/>
        <v>0</v>
      </c>
      <c r="Y87" s="707">
        <f t="shared" si="36"/>
        <v>298.21421585119828</v>
      </c>
      <c r="Z87" s="635">
        <f t="shared" si="37"/>
        <v>1.9815273693551454</v>
      </c>
      <c r="AA87" s="707">
        <f t="shared" si="38"/>
        <v>65.883310324142414</v>
      </c>
      <c r="AB87" s="707">
        <f t="shared" si="39"/>
        <v>3543.7789316984054</v>
      </c>
    </row>
    <row r="88" spans="1:28"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40"/>
        <v>0</v>
      </c>
      <c r="I88" s="27">
        <f t="shared" si="22"/>
        <v>5.666666666666667</v>
      </c>
      <c r="J88" s="739">
        <f>IF(Weather_Site!M86&lt;180,Weather_Site!M86+180,Weather_Site!M86-180)</f>
        <v>2</v>
      </c>
      <c r="K88" s="635">
        <f t="shared" si="23"/>
        <v>8.8409899999999997</v>
      </c>
      <c r="L88" s="635">
        <f t="shared" si="24"/>
        <v>11.530700000000001</v>
      </c>
      <c r="M88" s="635">
        <f t="shared" si="25"/>
        <v>12.45251</v>
      </c>
      <c r="N88" s="635">
        <f t="shared" si="26"/>
        <v>11.530700000000001</v>
      </c>
      <c r="O88" s="636">
        <f t="shared" si="27"/>
        <v>0.39708678740275694</v>
      </c>
      <c r="P88" s="635">
        <f>IF($O$11,Weather_Site!H86,IF(0.191*(Weather_Site!K86+104)*(Weather_Site!J86+1)^1.5/(3.52*(Weather_Site!J86+1)^1.5+Weather_Site!I86-1)&gt;10, 10,0.191*(Weather_Site!K86+104)*(Weather_Site!J86+1)^1.5/(3.52*(Weather_Site!J86+1)^1.5+Weather_Site!I86-1)))</f>
        <v>8.9000009999999996</v>
      </c>
      <c r="Q88" s="636">
        <f t="shared" si="28"/>
        <v>0.98194519810002745</v>
      </c>
      <c r="R88" s="636">
        <f t="shared" si="29"/>
        <v>0.38991746411910366</v>
      </c>
      <c r="S88" s="635">
        <f t="shared" si="30"/>
        <v>1</v>
      </c>
      <c r="T88" s="707">
        <f t="shared" si="31"/>
        <v>118.48175764057507</v>
      </c>
      <c r="U88" s="707">
        <f t="shared" si="32"/>
        <v>335.23387524364489</v>
      </c>
      <c r="V88" s="707">
        <f t="shared" si="33"/>
        <v>596.62103948430615</v>
      </c>
      <c r="W88" s="636">
        <f t="shared" si="34"/>
        <v>1</v>
      </c>
      <c r="X88" s="636">
        <f t="shared" si="35"/>
        <v>4.9947565604345867E-8</v>
      </c>
      <c r="Y88" s="707">
        <f t="shared" si="36"/>
        <v>335.2338882992974</v>
      </c>
      <c r="Z88" s="635">
        <f t="shared" si="37"/>
        <v>2.1564660526968704</v>
      </c>
      <c r="AA88" s="707">
        <f t="shared" si="38"/>
        <v>70.623133121112616</v>
      </c>
      <c r="AB88" s="707">
        <f t="shared" si="39"/>
        <v>3983.6960392899841</v>
      </c>
    </row>
    <row r="89" spans="1:28" x14ac:dyDescent="0.25">
      <c r="A89" s="67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40"/>
        <v>0</v>
      </c>
      <c r="I89" s="413">
        <f t="shared" si="22"/>
        <v>6</v>
      </c>
      <c r="J89" s="413">
        <f>IF(Weather_Site!M87&lt;180,Weather_Site!M87+180,Weather_Site!M87-180)</f>
        <v>356</v>
      </c>
      <c r="K89" s="711">
        <f t="shared" si="23"/>
        <v>8.4682999999999993</v>
      </c>
      <c r="L89" s="711">
        <f t="shared" si="24"/>
        <v>11.0091</v>
      </c>
      <c r="M89" s="711">
        <f t="shared" si="25"/>
        <v>11.8445</v>
      </c>
      <c r="N89" s="711">
        <f t="shared" si="26"/>
        <v>11.0091</v>
      </c>
      <c r="O89" s="713">
        <f t="shared" si="27"/>
        <v>0.43460049442618187</v>
      </c>
      <c r="P89" s="711">
        <f>IF($O$11,Weather_Site!H87,IF(0.191*(Weather_Site!K87+104)*(Weather_Site!J87+1)^1.5/(3.52*(Weather_Site!J87+1)^1.5+Weather_Site!I87-1)&gt;10, 10,0.191*(Weather_Site!K87+104)*(Weather_Site!J87+1)^1.5/(3.52*(Weather_Site!J87+1)^1.5+Weather_Site!I87-1)))</f>
        <v>8.9000009999999996</v>
      </c>
      <c r="Q89" s="713">
        <f t="shared" si="28"/>
        <v>0.98194519810002745</v>
      </c>
      <c r="R89" s="713">
        <f t="shared" si="29"/>
        <v>0.42675386859368702</v>
      </c>
      <c r="S89" s="711">
        <f t="shared" si="30"/>
        <v>1</v>
      </c>
      <c r="T89" s="716">
        <f t="shared" si="31"/>
        <v>137.38775746180386</v>
      </c>
      <c r="U89" s="716">
        <f t="shared" si="32"/>
        <v>384.635408476225</v>
      </c>
      <c r="V89" s="716">
        <f t="shared" si="33"/>
        <v>698.99679210518468</v>
      </c>
      <c r="W89" s="713">
        <f t="shared" si="34"/>
        <v>1</v>
      </c>
      <c r="X89" s="713">
        <f t="shared" si="35"/>
        <v>1.8054734971537912E-7</v>
      </c>
      <c r="Y89" s="716">
        <f t="shared" si="36"/>
        <v>384.63546523333969</v>
      </c>
      <c r="Z89" s="711">
        <f t="shared" si="37"/>
        <v>2.3818079816311215</v>
      </c>
      <c r="AA89" s="716">
        <f t="shared" si="38"/>
        <v>77.435067086757059</v>
      </c>
      <c r="AB89" s="716">
        <f t="shared" si="39"/>
        <v>4570.7514451895204</v>
      </c>
    </row>
    <row r="90" spans="1:28" x14ac:dyDescent="0.25">
      <c r="A90" s="67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40"/>
        <v>0</v>
      </c>
      <c r="I90" s="413">
        <f t="shared" si="22"/>
        <v>7.333333333333333</v>
      </c>
      <c r="J90" s="413">
        <f>IF(Weather_Site!M88&lt;180,Weather_Site!M88+180,Weather_Site!M88-180)</f>
        <v>359</v>
      </c>
      <c r="K90" s="711">
        <f t="shared" si="23"/>
        <v>7.691819999999999</v>
      </c>
      <c r="L90" s="711">
        <f t="shared" si="24"/>
        <v>9.9040000000000017</v>
      </c>
      <c r="M90" s="711">
        <f t="shared" si="25"/>
        <v>10.560380000000002</v>
      </c>
      <c r="N90" s="711">
        <f t="shared" si="26"/>
        <v>9.9040000000000017</v>
      </c>
      <c r="O90" s="713">
        <f t="shared" si="27"/>
        <v>0.52253842183939181</v>
      </c>
      <c r="P90" s="711">
        <f>IF($O$11,Weather_Site!H88,IF(0.191*(Weather_Site!K88+104)*(Weather_Site!J88+1)^1.5/(3.52*(Weather_Site!J88+1)^1.5+Weather_Site!I88-1)&gt;10, 10,0.191*(Weather_Site!K88+104)*(Weather_Site!J88+1)^1.5/(3.52*(Weather_Site!J88+1)^1.5+Weather_Site!I88-1)))</f>
        <v>8.9000009999999996</v>
      </c>
      <c r="Q90" s="713">
        <f t="shared" si="28"/>
        <v>0.98194519810002745</v>
      </c>
      <c r="R90" s="713">
        <f t="shared" si="29"/>
        <v>0.51310409414795732</v>
      </c>
      <c r="S90" s="711">
        <f t="shared" si="30"/>
        <v>1</v>
      </c>
      <c r="T90" s="716">
        <f t="shared" si="31"/>
        <v>201.85426352057846</v>
      </c>
      <c r="U90" s="716">
        <f t="shared" si="32"/>
        <v>545.80348394867144</v>
      </c>
      <c r="V90" s="716">
        <f t="shared" si="33"/>
        <v>1067.3908048445728</v>
      </c>
      <c r="W90" s="713">
        <f t="shared" si="34"/>
        <v>1</v>
      </c>
      <c r="X90" s="713">
        <f t="shared" si="35"/>
        <v>5.9844003223426603E-6</v>
      </c>
      <c r="Y90" s="716">
        <f t="shared" si="36"/>
        <v>545.8066053360028</v>
      </c>
      <c r="Z90" s="711">
        <f t="shared" si="37"/>
        <v>3.0675745561451118</v>
      </c>
      <c r="AA90" s="716">
        <f t="shared" si="38"/>
        <v>93.319416860895018</v>
      </c>
      <c r="AB90" s="716">
        <f t="shared" si="39"/>
        <v>6486.0018267428331</v>
      </c>
    </row>
    <row r="91" spans="1:28" x14ac:dyDescent="0.25">
      <c r="A91" s="67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40"/>
        <v>0</v>
      </c>
      <c r="I91" s="413">
        <f t="shared" si="22"/>
        <v>5</v>
      </c>
      <c r="J91" s="413">
        <f>IF(Weather_Site!M89&lt;180,Weather_Site!M89+180,Weather_Site!M89-180)</f>
        <v>347</v>
      </c>
      <c r="K91" s="711">
        <f t="shared" si="23"/>
        <v>7.2805499999999999</v>
      </c>
      <c r="L91" s="711">
        <f t="shared" si="24"/>
        <v>9.302500000000002</v>
      </c>
      <c r="M91" s="711">
        <f t="shared" si="25"/>
        <v>9.8649500000000003</v>
      </c>
      <c r="N91" s="711">
        <f t="shared" si="26"/>
        <v>9.302500000000002</v>
      </c>
      <c r="O91" s="713">
        <f t="shared" si="27"/>
        <v>0.57430483988896341</v>
      </c>
      <c r="P91" s="711">
        <f>IF($O$11,Weather_Site!H89,IF(0.191*(Weather_Site!K89+104)*(Weather_Site!J89+1)^1.5/(3.52*(Weather_Site!J89+1)^1.5+Weather_Site!I89-1)&gt;10, 10,0.191*(Weather_Site!K89+104)*(Weather_Site!J89+1)^1.5/(3.52*(Weather_Site!J89+1)^1.5+Weather_Site!I89-1)))</f>
        <v>8.9000009999999996</v>
      </c>
      <c r="Q91" s="713">
        <f t="shared" si="28"/>
        <v>0.98194519810002745</v>
      </c>
      <c r="R91" s="713">
        <f t="shared" si="29"/>
        <v>0.56393587977457271</v>
      </c>
      <c r="S91" s="711">
        <f t="shared" si="30"/>
        <v>1</v>
      </c>
      <c r="T91" s="716">
        <f t="shared" si="31"/>
        <v>150.80948260248488</v>
      </c>
      <c r="U91" s="716">
        <f t="shared" si="32"/>
        <v>437.24248999951993</v>
      </c>
      <c r="V91" s="716">
        <f t="shared" si="33"/>
        <v>743.36208811120684</v>
      </c>
      <c r="W91" s="713">
        <f t="shared" si="34"/>
        <v>1</v>
      </c>
      <c r="X91" s="713">
        <f t="shared" si="35"/>
        <v>2.9727339662911965E-6</v>
      </c>
      <c r="Y91" s="716">
        <f t="shared" si="36"/>
        <v>437.24340001164694</v>
      </c>
      <c r="Z91" s="711">
        <f t="shared" si="37"/>
        <v>2.6131178867649587</v>
      </c>
      <c r="AA91" s="716">
        <f t="shared" si="38"/>
        <v>101.5428239692631</v>
      </c>
      <c r="AB91" s="716">
        <f t="shared" si="39"/>
        <v>5195.9090701384048</v>
      </c>
    </row>
    <row r="92" spans="1:28" x14ac:dyDescent="0.25">
      <c r="A92" s="67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40"/>
        <v>0</v>
      </c>
      <c r="I92" s="413">
        <f t="shared" si="22"/>
        <v>6.666666666666667</v>
      </c>
      <c r="J92" s="413">
        <f>IF(Weather_Site!M90&lt;180,Weather_Site!M90+180,Weather_Site!M90-180)</f>
        <v>344</v>
      </c>
      <c r="K92" s="711">
        <f t="shared" si="23"/>
        <v>6.51647</v>
      </c>
      <c r="L92" s="711">
        <f t="shared" si="24"/>
        <v>8.2143000000000015</v>
      </c>
      <c r="M92" s="711">
        <f t="shared" si="25"/>
        <v>8.6006300000000007</v>
      </c>
      <c r="N92" s="711">
        <f t="shared" si="26"/>
        <v>8.2143000000000015</v>
      </c>
      <c r="O92" s="713">
        <f t="shared" si="27"/>
        <v>0.67227211569021872</v>
      </c>
      <c r="P92" s="711">
        <f>IF($O$11,Weather_Site!H90,IF(0.191*(Weather_Site!K90+104)*(Weather_Site!J90+1)^1.5/(3.52*(Weather_Site!J90+1)^1.5+Weather_Site!I90-1)&gt;10, 10,0.191*(Weather_Site!K90+104)*(Weather_Site!J90+1)^1.5/(3.52*(Weather_Site!J90+1)^1.5+Weather_Site!I90-1)))</f>
        <v>8.9000009999999996</v>
      </c>
      <c r="Q92" s="713">
        <f t="shared" si="28"/>
        <v>0.98194519810002745</v>
      </c>
      <c r="R92" s="713">
        <f t="shared" si="29"/>
        <v>0.66013437581855638</v>
      </c>
      <c r="S92" s="711">
        <f t="shared" si="30"/>
        <v>1</v>
      </c>
      <c r="T92" s="716">
        <f t="shared" si="31"/>
        <v>236.21115205511799</v>
      </c>
      <c r="U92" s="716">
        <f t="shared" si="32"/>
        <v>649.06119660810884</v>
      </c>
      <c r="V92" s="716">
        <f t="shared" si="33"/>
        <v>1225.8576680683252</v>
      </c>
      <c r="W92" s="713">
        <f t="shared" si="34"/>
        <v>1</v>
      </c>
      <c r="X92" s="713">
        <f t="shared" si="35"/>
        <v>1.7243032604487843E-4</v>
      </c>
      <c r="Y92" s="716">
        <f t="shared" si="36"/>
        <v>649.16065381174428</v>
      </c>
      <c r="Z92" s="711">
        <f t="shared" si="37"/>
        <v>3.477336477726249</v>
      </c>
      <c r="AA92" s="716">
        <f t="shared" si="38"/>
        <v>120.03710314566277</v>
      </c>
      <c r="AB92" s="716">
        <f t="shared" si="39"/>
        <v>7714.1924361295605</v>
      </c>
    </row>
    <row r="93" spans="1:28" x14ac:dyDescent="0.25">
      <c r="A93" s="67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40"/>
        <v>0</v>
      </c>
      <c r="I93" s="413">
        <f t="shared" si="22"/>
        <v>6</v>
      </c>
      <c r="J93" s="413">
        <f>IF(Weather_Site!M91&lt;180,Weather_Site!M91+180,Weather_Site!M91-180)</f>
        <v>345</v>
      </c>
      <c r="K93" s="711">
        <f t="shared" si="23"/>
        <v>5.9545299999999992</v>
      </c>
      <c r="L93" s="711">
        <f t="shared" si="24"/>
        <v>7.4055</v>
      </c>
      <c r="M93" s="711">
        <f t="shared" si="25"/>
        <v>7.6627699999999992</v>
      </c>
      <c r="N93" s="711">
        <f t="shared" si="26"/>
        <v>7.4055</v>
      </c>
      <c r="O93" s="713">
        <f t="shared" si="27"/>
        <v>0.74621116844586166</v>
      </c>
      <c r="P93" s="711">
        <f>IF($O$11,Weather_Site!H91,IF(0.191*(Weather_Site!K91+104)*(Weather_Site!J91+1)^1.5/(3.52*(Weather_Site!J91+1)^1.5+Weather_Site!I91-1)&gt;10, 10,0.191*(Weather_Site!K91+104)*(Weather_Site!J91+1)^1.5/(3.52*(Weather_Site!J91+1)^1.5+Weather_Site!I91-1)))</f>
        <v>8.9000009999999996</v>
      </c>
      <c r="Q93" s="713">
        <f t="shared" si="28"/>
        <v>0.98194519810002745</v>
      </c>
      <c r="R93" s="713">
        <f t="shared" si="29"/>
        <v>0.73273847362402456</v>
      </c>
      <c r="S93" s="711">
        <f t="shared" si="30"/>
        <v>1</v>
      </c>
      <c r="T93" s="716">
        <f t="shared" si="31"/>
        <v>235.8954495923673</v>
      </c>
      <c r="U93" s="716">
        <f t="shared" si="32"/>
        <v>660.42087219356847</v>
      </c>
      <c r="V93" s="716">
        <f t="shared" si="33"/>
        <v>1200.1809010028958</v>
      </c>
      <c r="W93" s="713">
        <f t="shared" si="34"/>
        <v>1</v>
      </c>
      <c r="X93" s="713">
        <f t="shared" si="35"/>
        <v>6.7210348594136415E-4</v>
      </c>
      <c r="Y93" s="716">
        <f t="shared" si="36"/>
        <v>660.78364679050298</v>
      </c>
      <c r="Z93" s="711">
        <f t="shared" si="37"/>
        <v>3.5222400246560994</v>
      </c>
      <c r="AA93" s="716">
        <f t="shared" si="38"/>
        <v>133.02940223677382</v>
      </c>
      <c r="AB93" s="716">
        <f t="shared" si="39"/>
        <v>7852.3123360271447</v>
      </c>
    </row>
    <row r="94" spans="1:28"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ref="H94:H125" si="41">C$4</f>
        <v>0</v>
      </c>
      <c r="I94" s="27">
        <f t="shared" si="22"/>
        <v>5.666666666666667</v>
      </c>
      <c r="J94" s="739">
        <f>IF(Weather_Site!M92&lt;180,Weather_Site!M92+180,Weather_Site!M92-180)</f>
        <v>350</v>
      </c>
      <c r="K94" s="635">
        <f t="shared" si="23"/>
        <v>5.4515399999999987</v>
      </c>
      <c r="L94" s="635">
        <f t="shared" si="24"/>
        <v>6.6868000000000007</v>
      </c>
      <c r="M94" s="635">
        <f t="shared" si="25"/>
        <v>6.8282600000000002</v>
      </c>
      <c r="N94" s="635">
        <f t="shared" si="26"/>
        <v>6.6868000000000007</v>
      </c>
      <c r="O94" s="636">
        <f t="shared" si="27"/>
        <v>0.8105445190350743</v>
      </c>
      <c r="P94" s="635">
        <f>IF($O$11,Weather_Site!H92,IF(0.191*(Weather_Site!K92+104)*(Weather_Site!J92+1)^1.5/(3.52*(Weather_Site!J92+1)^1.5+Weather_Site!I92-1)&gt;10, 10,0.191*(Weather_Site!K92+104)*(Weather_Site!J92+1)^1.5/(3.52*(Weather_Site!J92+1)^1.5+Weather_Site!I92-1)))</f>
        <v>8.9000009999999996</v>
      </c>
      <c r="Q94" s="636">
        <f t="shared" si="28"/>
        <v>0.98194519810002745</v>
      </c>
      <c r="R94" s="636">
        <f t="shared" si="29"/>
        <v>0.79591029831278748</v>
      </c>
      <c r="S94" s="635">
        <f t="shared" si="30"/>
        <v>1</v>
      </c>
      <c r="T94" s="707">
        <f t="shared" si="31"/>
        <v>241.84823647583138</v>
      </c>
      <c r="U94" s="707">
        <f t="shared" si="32"/>
        <v>684.28864619467242</v>
      </c>
      <c r="V94" s="707">
        <f t="shared" si="33"/>
        <v>1217.8393460483483</v>
      </c>
      <c r="W94" s="636">
        <f t="shared" si="34"/>
        <v>1</v>
      </c>
      <c r="X94" s="636">
        <f t="shared" si="35"/>
        <v>2.7268321013712558E-3</v>
      </c>
      <c r="Y94" s="707">
        <f t="shared" si="36"/>
        <v>685.74354937074247</v>
      </c>
      <c r="Z94" s="635">
        <f t="shared" si="37"/>
        <v>3.6179371260516215</v>
      </c>
      <c r="AA94" s="707">
        <f t="shared" si="38"/>
        <v>144.46438640152152</v>
      </c>
      <c r="AB94" s="707">
        <f t="shared" si="39"/>
        <v>8148.9191783556571</v>
      </c>
    </row>
    <row r="95" spans="1:28"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41"/>
        <v>0</v>
      </c>
      <c r="I95" s="27">
        <f t="shared" si="22"/>
        <v>6</v>
      </c>
      <c r="J95" s="739">
        <f>IF(Weather_Site!M93&lt;180,Weather_Site!M93+180,Weather_Site!M93-180)</f>
        <v>14</v>
      </c>
      <c r="K95" s="635">
        <f t="shared" si="23"/>
        <v>4.9628199999999998</v>
      </c>
      <c r="L95" s="635">
        <f t="shared" si="24"/>
        <v>5.9894999999999996</v>
      </c>
      <c r="M95" s="635">
        <f t="shared" si="25"/>
        <v>6.0183800000000005</v>
      </c>
      <c r="N95" s="635">
        <f t="shared" si="26"/>
        <v>4.9628199999999998</v>
      </c>
      <c r="O95" s="636">
        <f t="shared" si="27"/>
        <v>0.94718611283086507</v>
      </c>
      <c r="P95" s="635">
        <f>IF($O$11,Weather_Site!H93,IF(0.191*(Weather_Site!K93+104)*(Weather_Site!J93+1)^1.5/(3.52*(Weather_Site!J93+1)^1.5+Weather_Site!I93-1)&gt;10, 10,0.191*(Weather_Site!K93+104)*(Weather_Site!J93+1)^1.5/(3.52*(Weather_Site!J93+1)^1.5+Weather_Site!I93-1)))</f>
        <v>9</v>
      </c>
      <c r="Q95" s="636">
        <f t="shared" si="28"/>
        <v>0.98420578412222115</v>
      </c>
      <c r="R95" s="636">
        <f t="shared" si="29"/>
        <v>0.93222605088838018</v>
      </c>
      <c r="S95" s="635">
        <f t="shared" si="30"/>
        <v>1</v>
      </c>
      <c r="T95" s="707">
        <f t="shared" si="31"/>
        <v>300.11783373185949</v>
      </c>
      <c r="U95" s="707">
        <f t="shared" si="32"/>
        <v>840.22002907025205</v>
      </c>
      <c r="V95" s="707">
        <f t="shared" si="33"/>
        <v>1526.929377899263</v>
      </c>
      <c r="W95" s="636">
        <f t="shared" si="34"/>
        <v>1</v>
      </c>
      <c r="X95" s="636">
        <f t="shared" si="35"/>
        <v>0.12526204658248424</v>
      </c>
      <c r="Y95" s="707">
        <f t="shared" si="36"/>
        <v>926.23864751189899</v>
      </c>
      <c r="Z95" s="635">
        <f t="shared" si="37"/>
        <v>4.4963151023972454</v>
      </c>
      <c r="AA95" s="707">
        <f t="shared" si="38"/>
        <v>186.47097912544271</v>
      </c>
      <c r="AB95" s="707">
        <f t="shared" si="39"/>
        <v>11006.802594599734</v>
      </c>
    </row>
    <row r="96" spans="1:28"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1"/>
        <v>0</v>
      </c>
      <c r="I96" s="27">
        <f t="shared" si="22"/>
        <v>6</v>
      </c>
      <c r="J96" s="739">
        <f>IF(Weather_Site!M94&lt;180,Weather_Site!M94+180,Weather_Site!M94-180)</f>
        <v>18</v>
      </c>
      <c r="K96" s="635">
        <f t="shared" si="23"/>
        <v>4.4722299999999997</v>
      </c>
      <c r="L96" s="635">
        <f t="shared" si="24"/>
        <v>5.287700000000001</v>
      </c>
      <c r="M96" s="635">
        <f t="shared" si="25"/>
        <v>5.2036700000000007</v>
      </c>
      <c r="N96" s="635">
        <f t="shared" si="26"/>
        <v>4.4722299999999997</v>
      </c>
      <c r="O96" s="636">
        <f t="shared" si="27"/>
        <v>0.9782034592419282</v>
      </c>
      <c r="P96" s="635">
        <f>IF($O$11,Weather_Site!H94,IF(0.191*(Weather_Site!K94+104)*(Weather_Site!J94+1)^1.5/(3.52*(Weather_Site!J94+1)^1.5+Weather_Site!I94-1)&gt;10, 10,0.191*(Weather_Site!K94+104)*(Weather_Site!J94+1)^1.5/(3.52*(Weather_Site!J94+1)^1.5+Weather_Site!I94-1)))</f>
        <v>9</v>
      </c>
      <c r="Q96" s="636">
        <f t="shared" si="28"/>
        <v>0.98420578412222115</v>
      </c>
      <c r="R96" s="636">
        <f t="shared" si="29"/>
        <v>0.96275350263427117</v>
      </c>
      <c r="S96" s="635">
        <f t="shared" si="30"/>
        <v>1</v>
      </c>
      <c r="T96" s="707">
        <f t="shared" si="31"/>
        <v>309.94574261576139</v>
      </c>
      <c r="U96" s="707">
        <f t="shared" si="32"/>
        <v>867.73457489197608</v>
      </c>
      <c r="V96" s="707">
        <f t="shared" si="33"/>
        <v>1576.931480778476</v>
      </c>
      <c r="W96" s="636">
        <f t="shared" si="34"/>
        <v>1</v>
      </c>
      <c r="X96" s="636">
        <f t="shared" si="35"/>
        <v>0.24542930627754594</v>
      </c>
      <c r="Y96" s="707">
        <f t="shared" si="36"/>
        <v>1041.7922795178818</v>
      </c>
      <c r="Z96" s="635">
        <f t="shared" si="37"/>
        <v>4.8952158243282176</v>
      </c>
      <c r="AA96" s="707">
        <f t="shared" si="38"/>
        <v>209.7343129968356</v>
      </c>
      <c r="AB96" s="707">
        <f t="shared" si="39"/>
        <v>12379.964921604162</v>
      </c>
    </row>
    <row r="97" spans="1:28"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1"/>
        <v>0</v>
      </c>
      <c r="I97" s="27">
        <f t="shared" si="22"/>
        <v>5.666666666666667</v>
      </c>
      <c r="J97" s="739">
        <f>IF(Weather_Site!M95&lt;180,Weather_Site!M95+180,Weather_Site!M95-180)</f>
        <v>20</v>
      </c>
      <c r="K97" s="635">
        <f t="shared" si="23"/>
        <v>4.1206000000000005</v>
      </c>
      <c r="L97" s="635">
        <f t="shared" si="24"/>
        <v>4.7908999999999997</v>
      </c>
      <c r="M97" s="635">
        <f t="shared" si="25"/>
        <v>4.6256000000000013</v>
      </c>
      <c r="N97" s="635">
        <f t="shared" si="26"/>
        <v>4.1206000000000005</v>
      </c>
      <c r="O97" s="636">
        <f t="shared" si="27"/>
        <v>0.99741593288484331</v>
      </c>
      <c r="P97" s="635">
        <f>IF($O$11,Weather_Site!H95,IF(0.191*(Weather_Site!K95+104)*(Weather_Site!J95+1)^1.5/(3.52*(Weather_Site!J95+1)^1.5+Weather_Site!I95-1)&gt;10, 10,0.191*(Weather_Site!K95+104)*(Weather_Site!J95+1)^1.5/(3.52*(Weather_Site!J95+1)^1.5+Weather_Site!I95-1)))</f>
        <v>9</v>
      </c>
      <c r="Q97" s="636">
        <f t="shared" si="28"/>
        <v>0.98420578412222115</v>
      </c>
      <c r="R97" s="636">
        <f t="shared" si="29"/>
        <v>0.98166253032092388</v>
      </c>
      <c r="S97" s="635">
        <f t="shared" si="30"/>
        <v>1</v>
      </c>
      <c r="T97" s="707">
        <f t="shared" si="31"/>
        <v>298.29159426106071</v>
      </c>
      <c r="U97" s="707">
        <f t="shared" si="32"/>
        <v>843.99024025362212</v>
      </c>
      <c r="V97" s="707">
        <f t="shared" si="33"/>
        <v>1502.0628034346332</v>
      </c>
      <c r="W97" s="636">
        <f t="shared" si="34"/>
        <v>1</v>
      </c>
      <c r="X97" s="636">
        <f t="shared" si="35"/>
        <v>0.28698138855333899</v>
      </c>
      <c r="Y97" s="707">
        <f t="shared" si="36"/>
        <v>1032.8448182041636</v>
      </c>
      <c r="Z97" s="635">
        <f t="shared" si="37"/>
        <v>4.8647826661884048</v>
      </c>
      <c r="AA97" s="707">
        <f t="shared" si="38"/>
        <v>217.58759968908814</v>
      </c>
      <c r="AB97" s="707">
        <f t="shared" si="39"/>
        <v>12273.639256326143</v>
      </c>
    </row>
    <row r="98" spans="1:28"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1"/>
        <v>0</v>
      </c>
      <c r="I98" s="27">
        <f t="shared" si="22"/>
        <v>6.333333333333333</v>
      </c>
      <c r="J98" s="739">
        <f>IF(Weather_Site!M96&lt;180,Weather_Site!M96+180,Weather_Site!M96-180)</f>
        <v>22</v>
      </c>
      <c r="K98" s="635">
        <f t="shared" si="23"/>
        <v>3.9624499999999996</v>
      </c>
      <c r="L98" s="635">
        <f t="shared" si="24"/>
        <v>4.5655999999999999</v>
      </c>
      <c r="M98" s="635">
        <f t="shared" si="25"/>
        <v>4.3638500000000011</v>
      </c>
      <c r="N98" s="635">
        <f t="shared" si="26"/>
        <v>3.9624499999999996</v>
      </c>
      <c r="O98" s="636">
        <f t="shared" si="27"/>
        <v>1</v>
      </c>
      <c r="P98" s="635">
        <f>IF($O$11,Weather_Site!H96,IF(0.191*(Weather_Site!K96+104)*(Weather_Site!J96+1)^1.5/(3.52*(Weather_Site!J96+1)^1.5+Weather_Site!I96-1)&gt;10, 10,0.191*(Weather_Site!K96+104)*(Weather_Site!J96+1)^1.5/(3.52*(Weather_Site!J96+1)^1.5+Weather_Site!I96-1)))</f>
        <v>9</v>
      </c>
      <c r="Q98" s="636">
        <f t="shared" si="28"/>
        <v>0.98420578412222115</v>
      </c>
      <c r="R98" s="636">
        <f t="shared" si="29"/>
        <v>0.98420578412222115</v>
      </c>
      <c r="S98" s="635">
        <f t="shared" si="30"/>
        <v>1</v>
      </c>
      <c r="T98" s="707">
        <f t="shared" si="31"/>
        <v>334.55237175111222</v>
      </c>
      <c r="U98" s="707">
        <f t="shared" si="32"/>
        <v>927.56812051340626</v>
      </c>
      <c r="V98" s="707">
        <f t="shared" si="33"/>
        <v>1719.3179162362478</v>
      </c>
      <c r="W98" s="636">
        <f t="shared" si="34"/>
        <v>1</v>
      </c>
      <c r="X98" s="636">
        <f t="shared" si="35"/>
        <v>0.43744343550266018</v>
      </c>
      <c r="Y98" s="707">
        <f t="shared" si="36"/>
        <v>1273.9138712129354</v>
      </c>
      <c r="Z98" s="635">
        <f t="shared" si="37"/>
        <v>5.6615109527671077</v>
      </c>
      <c r="AA98" s="707">
        <f t="shared" si="38"/>
        <v>245.5690244453958</v>
      </c>
      <c r="AB98" s="707">
        <f t="shared" si="39"/>
        <v>15138.343169580383</v>
      </c>
    </row>
    <row r="99" spans="1:28" x14ac:dyDescent="0.25">
      <c r="A99" s="67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1"/>
        <v>0</v>
      </c>
      <c r="I99" s="413">
        <f t="shared" si="22"/>
        <v>6.333333333333333</v>
      </c>
      <c r="J99" s="413">
        <f>IF(Weather_Site!M97&lt;180,Weather_Site!M97+180,Weather_Site!M97-180)</f>
        <v>23</v>
      </c>
      <c r="K99" s="711">
        <f t="shared" si="23"/>
        <v>3.8099099999999999</v>
      </c>
      <c r="L99" s="711">
        <f t="shared" si="24"/>
        <v>4.3537999999999997</v>
      </c>
      <c r="M99" s="711">
        <f t="shared" si="25"/>
        <v>4.1165900000000004</v>
      </c>
      <c r="N99" s="711">
        <f t="shared" si="26"/>
        <v>3.8099099999999999</v>
      </c>
      <c r="O99" s="713">
        <f t="shared" si="27"/>
        <v>1</v>
      </c>
      <c r="P99" s="711">
        <f>IF($O$11,Weather_Site!H97,IF(0.191*(Weather_Site!K97+104)*(Weather_Site!J97+1)^1.5/(3.52*(Weather_Site!J97+1)^1.5+Weather_Site!I97-1)&gt;10, 10,0.191*(Weather_Site!K97+104)*(Weather_Site!J97+1)^1.5/(3.52*(Weather_Site!J97+1)^1.5+Weather_Site!I97-1)))</f>
        <v>9</v>
      </c>
      <c r="Q99" s="713">
        <f t="shared" si="28"/>
        <v>0.98420578412222115</v>
      </c>
      <c r="R99" s="713">
        <f t="shared" si="29"/>
        <v>0.98420578412222115</v>
      </c>
      <c r="S99" s="711">
        <f t="shared" si="30"/>
        <v>1</v>
      </c>
      <c r="T99" s="716">
        <f t="shared" si="31"/>
        <v>334.55237175111222</v>
      </c>
      <c r="U99" s="716">
        <f t="shared" si="32"/>
        <v>927.56812051340626</v>
      </c>
      <c r="V99" s="716">
        <f t="shared" si="33"/>
        <v>1719.3179162362478</v>
      </c>
      <c r="W99" s="713">
        <f t="shared" si="34"/>
        <v>1</v>
      </c>
      <c r="X99" s="713">
        <f t="shared" si="35"/>
        <v>0.43744343550266018</v>
      </c>
      <c r="Y99" s="716">
        <f t="shared" si="36"/>
        <v>1273.9138712129354</v>
      </c>
      <c r="Z99" s="711">
        <f t="shared" si="37"/>
        <v>5.6615109527671077</v>
      </c>
      <c r="AA99" s="716">
        <f t="shared" si="38"/>
        <v>245.5690244453958</v>
      </c>
      <c r="AB99" s="716">
        <f t="shared" si="39"/>
        <v>15138.343169580383</v>
      </c>
    </row>
    <row r="100" spans="1:28" x14ac:dyDescent="0.25">
      <c r="A100" s="67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1"/>
        <v>0</v>
      </c>
      <c r="I100" s="413">
        <f t="shared" si="22"/>
        <v>7</v>
      </c>
      <c r="J100" s="413">
        <f>IF(Weather_Site!M98&lt;180,Weather_Site!M98+180,Weather_Site!M98-180)</f>
        <v>24</v>
      </c>
      <c r="K100" s="711">
        <f t="shared" si="23"/>
        <v>3.8973999999999998</v>
      </c>
      <c r="L100" s="711">
        <f t="shared" si="24"/>
        <v>4.4866999999999999</v>
      </c>
      <c r="M100" s="711">
        <f t="shared" si="25"/>
        <v>4.2692000000000005</v>
      </c>
      <c r="N100" s="711">
        <f t="shared" si="26"/>
        <v>4.4866999999999999</v>
      </c>
      <c r="O100" s="713">
        <f t="shared" si="27"/>
        <v>0.97735574017324001</v>
      </c>
      <c r="P100" s="711">
        <f>IF($O$11,Weather_Site!H98,IF(0.191*(Weather_Site!K98+104)*(Weather_Site!J98+1)^1.5/(3.52*(Weather_Site!J98+1)^1.5+Weather_Site!I98-1)&gt;10, 10,0.191*(Weather_Site!K98+104)*(Weather_Site!J98+1)^1.5/(3.52*(Weather_Site!J98+1)^1.5+Weather_Site!I98-1)))</f>
        <v>9</v>
      </c>
      <c r="Q100" s="713">
        <f t="shared" si="28"/>
        <v>0.98420578412222115</v>
      </c>
      <c r="R100" s="713">
        <f t="shared" si="29"/>
        <v>0.96191917262355753</v>
      </c>
      <c r="S100" s="711">
        <f t="shared" si="30"/>
        <v>1</v>
      </c>
      <c r="T100" s="716">
        <f t="shared" si="31"/>
        <v>361.34204796384938</v>
      </c>
      <c r="U100" s="716">
        <f t="shared" si="32"/>
        <v>984.66311710302773</v>
      </c>
      <c r="V100" s="716">
        <f t="shared" si="33"/>
        <v>1893.1658789886858</v>
      </c>
      <c r="W100" s="713">
        <f t="shared" si="34"/>
        <v>1</v>
      </c>
      <c r="X100" s="713">
        <f t="shared" si="35"/>
        <v>0.43529947437679078</v>
      </c>
      <c r="Y100" s="716">
        <f t="shared" si="36"/>
        <v>1380.1338918217175</v>
      </c>
      <c r="Z100" s="711">
        <f t="shared" si="37"/>
        <v>5.9990036541729639</v>
      </c>
      <c r="AA100" s="716">
        <f t="shared" si="38"/>
        <v>245.20892115374127</v>
      </c>
      <c r="AB100" s="716">
        <f t="shared" si="39"/>
        <v>16400.591081148079</v>
      </c>
    </row>
    <row r="101" spans="1:28" x14ac:dyDescent="0.25">
      <c r="A101" s="67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1"/>
        <v>0</v>
      </c>
      <c r="I101" s="413">
        <f t="shared" si="22"/>
        <v>6.333333333333333</v>
      </c>
      <c r="J101" s="413">
        <f>IF(Weather_Site!M99&lt;180,Weather_Site!M99+180,Weather_Site!M99-180)</f>
        <v>24</v>
      </c>
      <c r="K101" s="711">
        <f t="shared" si="23"/>
        <v>3.9334199999999999</v>
      </c>
      <c r="L101" s="711">
        <f t="shared" si="24"/>
        <v>4.5475000000000003</v>
      </c>
      <c r="M101" s="711">
        <f t="shared" si="25"/>
        <v>4.3377800000000004</v>
      </c>
      <c r="N101" s="711">
        <f t="shared" si="26"/>
        <v>4.5475000000000003</v>
      </c>
      <c r="O101" s="713">
        <f t="shared" si="27"/>
        <v>0.97374689292690431</v>
      </c>
      <c r="P101" s="711">
        <f>IF($O$11,Weather_Site!H99,IF(0.191*(Weather_Site!K99+104)*(Weather_Site!J99+1)^1.5/(3.52*(Weather_Site!J99+1)^1.5+Weather_Site!I99-1)&gt;10, 10,0.191*(Weather_Site!K99+104)*(Weather_Site!J99+1)^1.5/(3.52*(Weather_Site!J99+1)^1.5+Weather_Site!I99-1)))</f>
        <v>9</v>
      </c>
      <c r="Q101" s="713">
        <f t="shared" si="28"/>
        <v>0.98420578412222115</v>
      </c>
      <c r="R101" s="713">
        <f t="shared" si="29"/>
        <v>0.9583673242897004</v>
      </c>
      <c r="S101" s="711">
        <f t="shared" si="30"/>
        <v>1</v>
      </c>
      <c r="T101" s="716">
        <f t="shared" si="31"/>
        <v>325.76933251397213</v>
      </c>
      <c r="U101" s="716">
        <f t="shared" si="32"/>
        <v>903.21657532797769</v>
      </c>
      <c r="V101" s="716">
        <f t="shared" si="33"/>
        <v>1674.1804788886059</v>
      </c>
      <c r="W101" s="713">
        <f t="shared" si="34"/>
        <v>1</v>
      </c>
      <c r="X101" s="713">
        <f t="shared" si="35"/>
        <v>0.27970778564341547</v>
      </c>
      <c r="Y101" s="716">
        <f t="shared" si="36"/>
        <v>1118.8611816039247</v>
      </c>
      <c r="Z101" s="711">
        <f t="shared" si="37"/>
        <v>5.1544375361122157</v>
      </c>
      <c r="AA101" s="716">
        <f t="shared" si="38"/>
        <v>215.6799255154454</v>
      </c>
      <c r="AB101" s="716">
        <f t="shared" si="39"/>
        <v>13295.800374726638</v>
      </c>
    </row>
    <row r="102" spans="1:28" x14ac:dyDescent="0.25">
      <c r="A102" s="67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1"/>
        <v>0</v>
      </c>
      <c r="I102" s="413">
        <f t="shared" si="22"/>
        <v>5.666666666666667</v>
      </c>
      <c r="J102" s="413">
        <f>IF(Weather_Site!M100&lt;180,Weather_Site!M100+180,Weather_Site!M100-180)</f>
        <v>24</v>
      </c>
      <c r="K102" s="711">
        <f t="shared" si="23"/>
        <v>4.1474700000000002</v>
      </c>
      <c r="L102" s="711">
        <f t="shared" si="24"/>
        <v>4.8685000000000009</v>
      </c>
      <c r="M102" s="711">
        <f t="shared" si="25"/>
        <v>4.70723</v>
      </c>
      <c r="N102" s="711">
        <f t="shared" si="26"/>
        <v>4.70723</v>
      </c>
      <c r="O102" s="713">
        <f t="shared" si="27"/>
        <v>0.96391503864379569</v>
      </c>
      <c r="P102" s="711">
        <f>IF($O$11,Weather_Site!H100,IF(0.191*(Weather_Site!K100+104)*(Weather_Site!J100+1)^1.5/(3.52*(Weather_Site!J100+1)^1.5+Weather_Site!I100-1)&gt;10, 10,0.191*(Weather_Site!K100+104)*(Weather_Site!J100+1)^1.5/(3.52*(Weather_Site!J100+1)^1.5+Weather_Site!I100-1)))</f>
        <v>9</v>
      </c>
      <c r="Q102" s="713">
        <f t="shared" si="28"/>
        <v>0.98420578412222115</v>
      </c>
      <c r="R102" s="713">
        <f t="shared" si="29"/>
        <v>0.94869075643561807</v>
      </c>
      <c r="S102" s="711">
        <f t="shared" si="30"/>
        <v>1</v>
      </c>
      <c r="T102" s="716">
        <f t="shared" si="31"/>
        <v>288.27266953481313</v>
      </c>
      <c r="U102" s="716">
        <f t="shared" si="32"/>
        <v>815.64256016650506</v>
      </c>
      <c r="V102" s="716">
        <f t="shared" si="33"/>
        <v>1451.6119880203132</v>
      </c>
      <c r="W102" s="713">
        <f t="shared" si="34"/>
        <v>1</v>
      </c>
      <c r="X102" s="713">
        <f t="shared" si="35"/>
        <v>0.14231990237088163</v>
      </c>
      <c r="Y102" s="716">
        <f t="shared" si="36"/>
        <v>906.15366704952442</v>
      </c>
      <c r="Z102" s="711">
        <f t="shared" si="37"/>
        <v>4.4256088098381428</v>
      </c>
      <c r="AA102" s="716">
        <f t="shared" si="38"/>
        <v>190.89779789532409</v>
      </c>
      <c r="AB102" s="716">
        <f t="shared" si="39"/>
        <v>10768.126076771845</v>
      </c>
    </row>
    <row r="103" spans="1:28" x14ac:dyDescent="0.25">
      <c r="A103" s="67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1"/>
        <v>0</v>
      </c>
      <c r="I103" s="413">
        <f t="shared" si="22"/>
        <v>5</v>
      </c>
      <c r="J103" s="413">
        <f>IF(Weather_Site!M101&lt;180,Weather_Site!M101+180,Weather_Site!M101-180)</f>
        <v>18</v>
      </c>
      <c r="K103" s="711">
        <f t="shared" si="23"/>
        <v>4.6071600000000004</v>
      </c>
      <c r="L103" s="711">
        <f t="shared" si="24"/>
        <v>5.5477000000000007</v>
      </c>
      <c r="M103" s="711">
        <f t="shared" si="25"/>
        <v>5.4910400000000008</v>
      </c>
      <c r="N103" s="711">
        <f t="shared" si="26"/>
        <v>5.4910400000000008</v>
      </c>
      <c r="O103" s="713">
        <f t="shared" si="27"/>
        <v>0.9091828324730129</v>
      </c>
      <c r="P103" s="711">
        <f>IF($O$11,Weather_Site!H101,IF(0.191*(Weather_Site!K101+104)*(Weather_Site!J101+1)^1.5/(3.52*(Weather_Site!J101+1)^1.5+Weather_Site!I101-1)&gt;10, 10,0.191*(Weather_Site!K101+104)*(Weather_Site!J101+1)^1.5/(3.52*(Weather_Site!J101+1)^1.5+Weather_Site!I101-1)))</f>
        <v>9</v>
      </c>
      <c r="Q103" s="713">
        <f t="shared" si="28"/>
        <v>0.98420578412222115</v>
      </c>
      <c r="R103" s="713">
        <f t="shared" si="29"/>
        <v>0.89482300254456371</v>
      </c>
      <c r="S103" s="711">
        <f t="shared" si="30"/>
        <v>1</v>
      </c>
      <c r="T103" s="716">
        <f t="shared" si="31"/>
        <v>239.2963435639023</v>
      </c>
      <c r="U103" s="716">
        <f t="shared" si="32"/>
        <v>693.79277285536716</v>
      </c>
      <c r="V103" s="716">
        <f t="shared" si="33"/>
        <v>1179.5268212537997</v>
      </c>
      <c r="W103" s="713">
        <f t="shared" si="34"/>
        <v>1</v>
      </c>
      <c r="X103" s="713">
        <f t="shared" si="35"/>
        <v>2.1166050205713154E-2</v>
      </c>
      <c r="Y103" s="716">
        <f t="shared" si="36"/>
        <v>704.07384411039266</v>
      </c>
      <c r="Z103" s="711">
        <f t="shared" si="37"/>
        <v>3.6876020708602026</v>
      </c>
      <c r="AA103" s="716">
        <f t="shared" si="38"/>
        <v>163.50994986307307</v>
      </c>
      <c r="AB103" s="716">
        <f t="shared" si="39"/>
        <v>8366.7441808451658</v>
      </c>
    </row>
    <row r="104" spans="1:28"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1"/>
        <v>0</v>
      </c>
      <c r="I104" s="27">
        <f t="shared" si="22"/>
        <v>4.666666666666667</v>
      </c>
      <c r="J104" s="739">
        <f>IF(Weather_Site!M102&lt;180,Weather_Site!M102+180,Weather_Site!M102-180)</f>
        <v>11</v>
      </c>
      <c r="K104" s="635">
        <f t="shared" si="23"/>
        <v>5.172839999999999</v>
      </c>
      <c r="L104" s="635">
        <f t="shared" si="24"/>
        <v>6.3655000000000008</v>
      </c>
      <c r="M104" s="635">
        <f t="shared" si="25"/>
        <v>6.4385600000000007</v>
      </c>
      <c r="N104" s="635">
        <f t="shared" si="26"/>
        <v>6.4385600000000007</v>
      </c>
      <c r="O104" s="636">
        <f t="shared" si="27"/>
        <v>0.83210100870773951</v>
      </c>
      <c r="P104" s="635">
        <f>IF($O$11,Weather_Site!H102,IF(0.191*(Weather_Site!K102+104)*(Weather_Site!J102+1)^1.5/(3.52*(Weather_Site!J102+1)^1.5+Weather_Site!I102-1)&gt;10, 10,0.191*(Weather_Site!K102+104)*(Weather_Site!J102+1)^1.5/(3.52*(Weather_Site!J102+1)^1.5+Weather_Site!I102-1)))</f>
        <v>9</v>
      </c>
      <c r="Q104" s="636">
        <f t="shared" si="28"/>
        <v>0.98420578412222115</v>
      </c>
      <c r="R104" s="636">
        <f t="shared" si="29"/>
        <v>0.81895862574409195</v>
      </c>
      <c r="S104" s="635">
        <f t="shared" si="30"/>
        <v>1</v>
      </c>
      <c r="T104" s="707">
        <f t="shared" si="31"/>
        <v>203.95211659550083</v>
      </c>
      <c r="U104" s="707">
        <f t="shared" si="32"/>
        <v>599.8107699352588</v>
      </c>
      <c r="V104" s="707">
        <f t="shared" si="33"/>
        <v>994.34719709335263</v>
      </c>
      <c r="W104" s="636">
        <f t="shared" si="34"/>
        <v>1</v>
      </c>
      <c r="X104" s="636">
        <f t="shared" si="35"/>
        <v>2.0914641224353638E-3</v>
      </c>
      <c r="Y104" s="707">
        <f t="shared" si="36"/>
        <v>600.63592871765377</v>
      </c>
      <c r="Z104" s="635">
        <f t="shared" si="37"/>
        <v>3.2873962759065756</v>
      </c>
      <c r="AA104" s="707">
        <f t="shared" si="38"/>
        <v>147.01290599120171</v>
      </c>
      <c r="AB104" s="707">
        <f t="shared" si="39"/>
        <v>7137.5569529281183</v>
      </c>
    </row>
    <row r="105" spans="1:28"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1"/>
        <v>0</v>
      </c>
      <c r="I105" s="27">
        <f t="shared" si="22"/>
        <v>4</v>
      </c>
      <c r="J105" s="739">
        <f>IF(Weather_Site!M103&lt;180,Weather_Site!M103+180,Weather_Site!M103-180)</f>
        <v>5</v>
      </c>
      <c r="K105" s="635">
        <f t="shared" si="23"/>
        <v>5.6175699999999997</v>
      </c>
      <c r="L105" s="635">
        <f t="shared" si="24"/>
        <v>7.008700000000001</v>
      </c>
      <c r="M105" s="635">
        <f t="shared" si="25"/>
        <v>7.1837300000000006</v>
      </c>
      <c r="N105" s="635">
        <f t="shared" si="26"/>
        <v>7.1837300000000006</v>
      </c>
      <c r="O105" s="636">
        <f t="shared" si="27"/>
        <v>0.76629432644384865</v>
      </c>
      <c r="P105" s="635">
        <f>IF($O$11,Weather_Site!H103,IF(0.191*(Weather_Site!K103+104)*(Weather_Site!J103+1)^1.5/(3.52*(Weather_Site!J103+1)^1.5+Weather_Site!I103-1)&gt;10, 10,0.191*(Weather_Site!K103+104)*(Weather_Site!J103+1)^1.5/(3.52*(Weather_Site!J103+1)^1.5+Weather_Site!I103-1)))</f>
        <v>9</v>
      </c>
      <c r="Q105" s="636">
        <f t="shared" si="28"/>
        <v>0.98420578412222115</v>
      </c>
      <c r="R105" s="636">
        <f t="shared" si="29"/>
        <v>0.7541913084260774</v>
      </c>
      <c r="S105" s="635">
        <f t="shared" si="30"/>
        <v>1</v>
      </c>
      <c r="T105" s="707">
        <f t="shared" si="31"/>
        <v>159.80114265695357</v>
      </c>
      <c r="U105" s="707">
        <f t="shared" si="32"/>
        <v>486.35851793912445</v>
      </c>
      <c r="V105" s="707">
        <f t="shared" si="33"/>
        <v>762.08821189033586</v>
      </c>
      <c r="W105" s="636">
        <f t="shared" si="34"/>
        <v>1</v>
      </c>
      <c r="X105" s="636">
        <f t="shared" si="35"/>
        <v>2.0372917043386286E-4</v>
      </c>
      <c r="Y105" s="707">
        <f t="shared" si="36"/>
        <v>486.4146921209371</v>
      </c>
      <c r="Z105" s="635">
        <f t="shared" si="37"/>
        <v>2.8224217908544871</v>
      </c>
      <c r="AA105" s="707">
        <f t="shared" si="38"/>
        <v>133.45442606478738</v>
      </c>
      <c r="AB105" s="707">
        <f t="shared" si="39"/>
        <v>5780.2279247038032</v>
      </c>
    </row>
    <row r="106" spans="1:28"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41"/>
        <v>0</v>
      </c>
      <c r="I106" s="27">
        <f t="shared" si="22"/>
        <v>4</v>
      </c>
      <c r="J106" s="739">
        <f>IF(Weather_Site!M104&lt;180,Weather_Site!M104+180,Weather_Site!M104-180)</f>
        <v>355</v>
      </c>
      <c r="K106" s="635">
        <f t="shared" si="23"/>
        <v>5.6945300000000003</v>
      </c>
      <c r="L106" s="635">
        <f t="shared" si="24"/>
        <v>7.1292000000000009</v>
      </c>
      <c r="M106" s="635">
        <f t="shared" si="25"/>
        <v>7.3213699999999999</v>
      </c>
      <c r="N106" s="635">
        <f t="shared" si="26"/>
        <v>7.3213699999999999</v>
      </c>
      <c r="O106" s="636">
        <f t="shared" si="27"/>
        <v>0.75384787524107388</v>
      </c>
      <c r="P106" s="635">
        <f>IF($O$11,Weather_Site!H104,IF(0.191*(Weather_Site!K104+104)*(Weather_Site!J104+1)^1.5/(3.52*(Weather_Site!J104+1)^1.5+Weather_Site!I104-1)&gt;10, 10,0.191*(Weather_Site!K104+104)*(Weather_Site!J104+1)^1.5/(3.52*(Weather_Site!J104+1)^1.5+Weather_Site!I104-1)))</f>
        <v>9</v>
      </c>
      <c r="Q106" s="636">
        <f t="shared" si="28"/>
        <v>0.98420578412222115</v>
      </c>
      <c r="R106" s="636">
        <f t="shared" si="29"/>
        <v>0.74194143916051147</v>
      </c>
      <c r="S106" s="635">
        <f t="shared" si="30"/>
        <v>1</v>
      </c>
      <c r="T106" s="707">
        <f t="shared" si="31"/>
        <v>157.20559019676821</v>
      </c>
      <c r="U106" s="707">
        <f t="shared" si="32"/>
        <v>478.45889327574554</v>
      </c>
      <c r="V106" s="707">
        <f t="shared" si="33"/>
        <v>749.71007803996338</v>
      </c>
      <c r="W106" s="636">
        <f t="shared" si="34"/>
        <v>1</v>
      </c>
      <c r="X106" s="636">
        <f t="shared" si="35"/>
        <v>1.4659197195379016E-4</v>
      </c>
      <c r="Y106" s="707">
        <f t="shared" si="36"/>
        <v>478.49865652181489</v>
      </c>
      <c r="Z106" s="635">
        <f t="shared" si="37"/>
        <v>2.7891369956935566</v>
      </c>
      <c r="AA106" s="707">
        <f t="shared" si="38"/>
        <v>131.28255501586227</v>
      </c>
      <c r="AB106" s="707">
        <f t="shared" si="39"/>
        <v>5686.159035000901</v>
      </c>
    </row>
    <row r="107" spans="1:28"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41"/>
        <v>0</v>
      </c>
      <c r="I107" s="27">
        <f t="shared" si="22"/>
        <v>4.666666666666667</v>
      </c>
      <c r="J107" s="739">
        <f>IF(Weather_Site!M105&lt;180,Weather_Site!M105+180,Weather_Site!M105-180)</f>
        <v>357</v>
      </c>
      <c r="K107" s="635">
        <f t="shared" si="23"/>
        <v>5.8266999999999998</v>
      </c>
      <c r="L107" s="635">
        <f t="shared" si="24"/>
        <v>7.3308</v>
      </c>
      <c r="M107" s="635">
        <f t="shared" si="25"/>
        <v>7.5527000000000006</v>
      </c>
      <c r="N107" s="635">
        <f t="shared" si="26"/>
        <v>7.5527000000000006</v>
      </c>
      <c r="O107" s="636">
        <f t="shared" si="27"/>
        <v>0.73280688314218367</v>
      </c>
      <c r="P107" s="635">
        <f>IF($O$11,Weather_Site!H105,IF(0.191*(Weather_Site!K105+104)*(Weather_Site!J105+1)^1.5/(3.52*(Weather_Site!J105+1)^1.5+Weather_Site!I105-1)&gt;10, 10,0.191*(Weather_Site!K105+104)*(Weather_Site!J105+1)^1.5/(3.52*(Weather_Site!J105+1)^1.5+Weather_Site!I105-1)))</f>
        <v>9</v>
      </c>
      <c r="Q107" s="636">
        <f t="shared" si="28"/>
        <v>0.98420578412222115</v>
      </c>
      <c r="R107" s="636">
        <f t="shared" si="29"/>
        <v>0.72123277303311373</v>
      </c>
      <c r="S107" s="635">
        <f t="shared" si="30"/>
        <v>1</v>
      </c>
      <c r="T107" s="707">
        <f t="shared" si="31"/>
        <v>179.61463008524538</v>
      </c>
      <c r="U107" s="707">
        <f t="shared" si="32"/>
        <v>528.23570238664718</v>
      </c>
      <c r="V107" s="707">
        <f t="shared" si="33"/>
        <v>875.69232898151256</v>
      </c>
      <c r="W107" s="636">
        <f t="shared" si="34"/>
        <v>1</v>
      </c>
      <c r="X107" s="636">
        <f t="shared" si="35"/>
        <v>1.516136843982069E-4</v>
      </c>
      <c r="Y107" s="707">
        <f t="shared" si="36"/>
        <v>528.28838156597374</v>
      </c>
      <c r="Z107" s="635">
        <f t="shared" si="37"/>
        <v>2.9960693363773396</v>
      </c>
      <c r="AA107" s="707">
        <f t="shared" si="38"/>
        <v>129.30496905374332</v>
      </c>
      <c r="AB107" s="707">
        <f t="shared" si="39"/>
        <v>6277.8269342756557</v>
      </c>
    </row>
    <row r="108" spans="1:28"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41"/>
        <v>0</v>
      </c>
      <c r="I108" s="27">
        <f t="shared" si="22"/>
        <v>4.666666666666667</v>
      </c>
      <c r="J108" s="739">
        <f>IF(Weather_Site!M106&lt;180,Weather_Site!M106+180,Weather_Site!M106-180)</f>
        <v>0</v>
      </c>
      <c r="K108" s="635">
        <f t="shared" si="23"/>
        <v>6.08474</v>
      </c>
      <c r="L108" s="635">
        <f t="shared" si="24"/>
        <v>7.7059000000000015</v>
      </c>
      <c r="M108" s="635">
        <f t="shared" si="25"/>
        <v>7.9868600000000001</v>
      </c>
      <c r="N108" s="635">
        <f t="shared" si="26"/>
        <v>7.9868600000000001</v>
      </c>
      <c r="O108" s="636">
        <f t="shared" si="27"/>
        <v>0.69309116377937263</v>
      </c>
      <c r="P108" s="635">
        <f>IF($O$11,Weather_Site!H106,IF(0.191*(Weather_Site!K106+104)*(Weather_Site!J106+1)^1.5/(3.52*(Weather_Site!J106+1)^1.5+Weather_Site!I106-1)&gt;10, 10,0.191*(Weather_Site!K106+104)*(Weather_Site!J106+1)^1.5/(3.52*(Weather_Site!J106+1)^1.5+Weather_Site!I106-1)))</f>
        <v>9</v>
      </c>
      <c r="Q108" s="636">
        <f t="shared" si="28"/>
        <v>0.98420578412222115</v>
      </c>
      <c r="R108" s="636">
        <f t="shared" si="29"/>
        <v>0.6821443323156603</v>
      </c>
      <c r="S108" s="635">
        <f t="shared" si="30"/>
        <v>1</v>
      </c>
      <c r="T108" s="707">
        <f t="shared" si="31"/>
        <v>169.880108745417</v>
      </c>
      <c r="U108" s="707">
        <f t="shared" si="32"/>
        <v>499.60706720864647</v>
      </c>
      <c r="V108" s="707">
        <f t="shared" si="33"/>
        <v>828.23268908720763</v>
      </c>
      <c r="W108" s="636">
        <f t="shared" si="34"/>
        <v>1</v>
      </c>
      <c r="X108" s="636">
        <f t="shared" si="35"/>
        <v>5.3037277709868713E-5</v>
      </c>
      <c r="Y108" s="707">
        <f t="shared" si="36"/>
        <v>499.62449661701663</v>
      </c>
      <c r="Z108" s="635">
        <f t="shared" si="37"/>
        <v>2.877633601369388</v>
      </c>
      <c r="AA108" s="707">
        <f t="shared" si="38"/>
        <v>122.28913663036435</v>
      </c>
      <c r="AB108" s="707">
        <f t="shared" si="39"/>
        <v>5937.2044347988813</v>
      </c>
    </row>
    <row r="109" spans="1:28"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41"/>
        <v>0</v>
      </c>
      <c r="I109" s="27">
        <f t="shared" si="22"/>
        <v>4.666666666666667</v>
      </c>
      <c r="J109" s="739">
        <f>IF(Weather_Site!M107&lt;180,Weather_Site!M107+180,Weather_Site!M107-180)</f>
        <v>353</v>
      </c>
      <c r="K109" s="635">
        <f t="shared" si="23"/>
        <v>6.8673200000000003</v>
      </c>
      <c r="L109" s="635">
        <f t="shared" si="24"/>
        <v>8.7998000000000012</v>
      </c>
      <c r="M109" s="635">
        <f t="shared" si="25"/>
        <v>9.2622800000000023</v>
      </c>
      <c r="N109" s="635">
        <f t="shared" si="26"/>
        <v>9.2622800000000023</v>
      </c>
      <c r="O109" s="636">
        <f t="shared" si="27"/>
        <v>0.5778425425953605</v>
      </c>
      <c r="P109" s="635">
        <f>IF($O$11,Weather_Site!H107,IF(0.191*(Weather_Site!K107+104)*(Weather_Site!J107+1)^1.5/(3.52*(Weather_Site!J107+1)^1.5+Weather_Site!I107-1)&gt;10, 10,0.191*(Weather_Site!K107+104)*(Weather_Site!J107+1)^1.5/(3.52*(Weather_Site!J107+1)^1.5+Weather_Site!I107-1)))</f>
        <v>9</v>
      </c>
      <c r="Q109" s="636">
        <f t="shared" si="28"/>
        <v>0.98420578412222115</v>
      </c>
      <c r="R109" s="636">
        <f t="shared" si="29"/>
        <v>0.56871597273424479</v>
      </c>
      <c r="S109" s="635">
        <f t="shared" si="30"/>
        <v>1</v>
      </c>
      <c r="T109" s="707">
        <f t="shared" si="31"/>
        <v>141.63209560853096</v>
      </c>
      <c r="U109" s="707">
        <f t="shared" si="32"/>
        <v>416.53137870093178</v>
      </c>
      <c r="V109" s="707">
        <f t="shared" si="33"/>
        <v>690.51245771629931</v>
      </c>
      <c r="W109" s="636">
        <f t="shared" si="34"/>
        <v>1</v>
      </c>
      <c r="X109" s="636">
        <f t="shared" si="35"/>
        <v>2.5164265594770723E-6</v>
      </c>
      <c r="Y109" s="707">
        <f t="shared" si="36"/>
        <v>416.53206815419583</v>
      </c>
      <c r="Z109" s="635">
        <f t="shared" si="37"/>
        <v>2.5230270562838708</v>
      </c>
      <c r="AA109" s="707">
        <f t="shared" si="38"/>
        <v>101.95126007298703</v>
      </c>
      <c r="AB109" s="740">
        <f t="shared" si="39"/>
        <v>4949.7894098990273</v>
      </c>
    </row>
    <row r="110" spans="1:28"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41"/>
        <v>0</v>
      </c>
      <c r="I110" s="27">
        <f t="shared" si="22"/>
        <v>4.666666666666667</v>
      </c>
      <c r="J110" s="739">
        <f>IF(Weather_Site!M108&lt;180,Weather_Site!M108+180,Weather_Site!M108-180)</f>
        <v>351</v>
      </c>
      <c r="K110" s="635">
        <f t="shared" si="23"/>
        <v>7.8054899999999989</v>
      </c>
      <c r="L110" s="635">
        <f t="shared" si="24"/>
        <v>10.099900000000002</v>
      </c>
      <c r="M110" s="635">
        <f t="shared" si="25"/>
        <v>10.780610000000001</v>
      </c>
      <c r="N110" s="635">
        <f t="shared" si="26"/>
        <v>10.780610000000001</v>
      </c>
      <c r="O110" s="636">
        <f t="shared" si="27"/>
        <v>0.45189328464278344</v>
      </c>
      <c r="P110" s="635">
        <f>IF($O$11,Weather_Site!H108,IF(0.191*(Weather_Site!K108+104)*(Weather_Site!J108+1)^1.5/(3.52*(Weather_Site!J108+1)^1.5+Weather_Site!I108-1)&gt;10, 10,0.191*(Weather_Site!K108+104)*(Weather_Site!J108+1)^1.5/(3.52*(Weather_Site!J108+1)^1.5+Weather_Site!I108-1)))</f>
        <v>9</v>
      </c>
      <c r="Q110" s="636">
        <f t="shared" si="28"/>
        <v>0.98420578412222115</v>
      </c>
      <c r="R110" s="636">
        <f t="shared" si="29"/>
        <v>0.44475598455141674</v>
      </c>
      <c r="S110" s="635">
        <f t="shared" si="30"/>
        <v>1</v>
      </c>
      <c r="T110" s="707">
        <f t="shared" si="31"/>
        <v>110.76130291119496</v>
      </c>
      <c r="U110" s="707">
        <f t="shared" si="32"/>
        <v>325.74225503115883</v>
      </c>
      <c r="V110" s="707">
        <f t="shared" si="33"/>
        <v>540.00513912089536</v>
      </c>
      <c r="W110" s="636">
        <f t="shared" si="34"/>
        <v>1</v>
      </c>
      <c r="X110" s="636">
        <f t="shared" si="35"/>
        <v>8.9960548320356115E-8</v>
      </c>
      <c r="Y110" s="707">
        <f t="shared" si="36"/>
        <v>325.7422743063654</v>
      </c>
      <c r="Z110" s="635">
        <f t="shared" si="37"/>
        <v>2.1121466833378721</v>
      </c>
      <c r="AA110" s="707">
        <f t="shared" si="38"/>
        <v>79.729360266880107</v>
      </c>
      <c r="AB110" s="740">
        <f t="shared" si="39"/>
        <v>3870.9040263406414</v>
      </c>
    </row>
    <row r="111" spans="1:28"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41"/>
        <v>0</v>
      </c>
      <c r="I111" s="27">
        <f t="shared" si="22"/>
        <v>5.333333333333333</v>
      </c>
      <c r="J111" s="739">
        <f>IF(Weather_Site!M109&lt;180,Weather_Site!M109+180,Weather_Site!M109-180)</f>
        <v>348</v>
      </c>
      <c r="K111" s="635">
        <f t="shared" si="23"/>
        <v>8.53965</v>
      </c>
      <c r="L111" s="635">
        <f t="shared" si="24"/>
        <v>11.116100000000001</v>
      </c>
      <c r="M111" s="635">
        <f t="shared" si="25"/>
        <v>11.967650000000001</v>
      </c>
      <c r="N111" s="635">
        <f t="shared" si="26"/>
        <v>11.967650000000001</v>
      </c>
      <c r="O111" s="636">
        <f t="shared" si="27"/>
        <v>0.36790268289102512</v>
      </c>
      <c r="P111" s="635">
        <f>IF($O$11,Weather_Site!H109,IF(0.191*(Weather_Site!K109+104)*(Weather_Site!J109+1)^1.5/(3.52*(Weather_Site!J109+1)^1.5+Weather_Site!I109-1)&gt;10, 10,0.191*(Weather_Site!K109+104)*(Weather_Site!J109+1)^1.5/(3.52*(Weather_Site!J109+1)^1.5+Weather_Site!I109-1)))</f>
        <v>9</v>
      </c>
      <c r="Q111" s="636">
        <f t="shared" si="28"/>
        <v>0.98420578412222115</v>
      </c>
      <c r="R111" s="636">
        <f t="shared" si="29"/>
        <v>0.36209194849543025</v>
      </c>
      <c r="S111" s="635">
        <f t="shared" si="30"/>
        <v>1</v>
      </c>
      <c r="T111" s="707">
        <f t="shared" si="31"/>
        <v>103.44789844331117</v>
      </c>
      <c r="U111" s="707">
        <f t="shared" si="32"/>
        <v>296.1109970269182</v>
      </c>
      <c r="V111" s="707">
        <f t="shared" si="33"/>
        <v>515.44176666089857</v>
      </c>
      <c r="W111" s="636">
        <f t="shared" si="34"/>
        <v>1</v>
      </c>
      <c r="X111" s="636">
        <f t="shared" si="35"/>
        <v>0</v>
      </c>
      <c r="Y111" s="707">
        <f t="shared" si="36"/>
        <v>296.1109970269182</v>
      </c>
      <c r="Z111" s="635">
        <f t="shared" si="37"/>
        <v>1.9714134431670045</v>
      </c>
      <c r="AA111" s="707">
        <f t="shared" si="38"/>
        <v>65.418654344935959</v>
      </c>
      <c r="AB111" s="740">
        <f t="shared" si="39"/>
        <v>3518.7856813365447</v>
      </c>
    </row>
    <row r="112" spans="1:28"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41"/>
        <v>0</v>
      </c>
      <c r="I112" s="27">
        <f t="shared" si="22"/>
        <v>5.666666666666667</v>
      </c>
      <c r="J112" s="739">
        <f>IF(Weather_Site!M110&lt;180,Weather_Site!M110+180,Weather_Site!M110-180)</f>
        <v>354</v>
      </c>
      <c r="K112" s="635">
        <f t="shared" si="23"/>
        <v>8.8596899999999987</v>
      </c>
      <c r="L112" s="635">
        <f t="shared" si="24"/>
        <v>11.575700000000001</v>
      </c>
      <c r="M112" s="635">
        <f t="shared" si="25"/>
        <v>12.50081</v>
      </c>
      <c r="N112" s="635">
        <f t="shared" si="26"/>
        <v>11.575700000000001</v>
      </c>
      <c r="O112" s="636">
        <f t="shared" si="27"/>
        <v>0.39398427045747841</v>
      </c>
      <c r="P112" s="635">
        <f>IF($O$11,Weather_Site!H110,IF(0.191*(Weather_Site!K110+104)*(Weather_Site!J110+1)^1.5/(3.52*(Weather_Site!J110+1)^1.5+Weather_Site!I110-1)&gt;10, 10,0.191*(Weather_Site!K110+104)*(Weather_Site!J110+1)^1.5/(3.52*(Weather_Site!J110+1)^1.5+Weather_Site!I110-1)))</f>
        <v>9</v>
      </c>
      <c r="Q112" s="636">
        <f t="shared" si="28"/>
        <v>0.98420578412222115</v>
      </c>
      <c r="R112" s="636">
        <f t="shared" si="29"/>
        <v>0.38776159783742381</v>
      </c>
      <c r="S112" s="635">
        <f t="shared" si="30"/>
        <v>1</v>
      </c>
      <c r="T112" s="707">
        <f t="shared" si="31"/>
        <v>117.82666816704111</v>
      </c>
      <c r="U112" s="707">
        <f t="shared" si="32"/>
        <v>333.38035629509665</v>
      </c>
      <c r="V112" s="707">
        <f t="shared" si="33"/>
        <v>593.32230244294067</v>
      </c>
      <c r="W112" s="636">
        <f t="shared" si="34"/>
        <v>1</v>
      </c>
      <c r="X112" s="636">
        <f t="shared" si="35"/>
        <v>4.7136059997301027E-8</v>
      </c>
      <c r="Y112" s="707">
        <f t="shared" si="36"/>
        <v>333.38036854773583</v>
      </c>
      <c r="Z112" s="635">
        <f t="shared" si="37"/>
        <v>2.147838980060111</v>
      </c>
      <c r="AA112" s="707">
        <f t="shared" si="38"/>
        <v>70.232655377883162</v>
      </c>
      <c r="AB112" s="740">
        <f t="shared" si="39"/>
        <v>3961.6700462422609</v>
      </c>
    </row>
    <row r="113" spans="1:28"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41"/>
        <v>0</v>
      </c>
      <c r="I113" s="27">
        <f t="shared" si="22"/>
        <v>6.333333333333333</v>
      </c>
      <c r="J113" s="739">
        <f>IF(Weather_Site!M111&lt;180,Weather_Site!M111+180,Weather_Site!M111-180)</f>
        <v>336</v>
      </c>
      <c r="K113" s="635">
        <f t="shared" si="23"/>
        <v>8.443010000000001</v>
      </c>
      <c r="L113" s="635">
        <f t="shared" si="24"/>
        <v>11</v>
      </c>
      <c r="M113" s="635">
        <f t="shared" si="25"/>
        <v>11.82809</v>
      </c>
      <c r="N113" s="635">
        <f t="shared" si="26"/>
        <v>11</v>
      </c>
      <c r="O113" s="636">
        <f t="shared" si="27"/>
        <v>0.43527953000000019</v>
      </c>
      <c r="P113" s="635">
        <f>IF($O$11,Weather_Site!H111,IF(0.191*(Weather_Site!K111+104)*(Weather_Site!J111+1)^1.5/(3.52*(Weather_Site!J111+1)^1.5+Weather_Site!I111-1)&gt;10, 10,0.191*(Weather_Site!K111+104)*(Weather_Site!J111+1)^1.5/(3.52*(Weather_Site!J111+1)^1.5+Weather_Site!I111-1)))</f>
        <v>9</v>
      </c>
      <c r="Q113" s="636">
        <f t="shared" si="28"/>
        <v>0.98420578412222115</v>
      </c>
      <c r="R113" s="636">
        <f t="shared" si="29"/>
        <v>0.42840463113600208</v>
      </c>
      <c r="S113" s="635">
        <f t="shared" si="30"/>
        <v>1</v>
      </c>
      <c r="T113" s="707">
        <f t="shared" si="31"/>
        <v>145.62379913620947</v>
      </c>
      <c r="U113" s="707">
        <f t="shared" si="32"/>
        <v>403.75141554005904</v>
      </c>
      <c r="V113" s="707">
        <f t="shared" si="33"/>
        <v>748.38389449989359</v>
      </c>
      <c r="W113" s="636">
        <f t="shared" si="34"/>
        <v>1</v>
      </c>
      <c r="X113" s="636">
        <f t="shared" si="35"/>
        <v>2.5352301244671848E-7</v>
      </c>
      <c r="Y113" s="707">
        <f t="shared" si="36"/>
        <v>403.7515029123233</v>
      </c>
      <c r="Z113" s="635">
        <f t="shared" si="37"/>
        <v>2.4668151988943365</v>
      </c>
      <c r="AA113" s="707">
        <f t="shared" si="38"/>
        <v>77.830114679682936</v>
      </c>
      <c r="AB113" s="740">
        <f t="shared" si="39"/>
        <v>4797.9136929414417</v>
      </c>
    </row>
    <row r="114" spans="1:28"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41"/>
        <v>0</v>
      </c>
      <c r="I114" s="27">
        <f t="shared" si="22"/>
        <v>8</v>
      </c>
      <c r="J114" s="739">
        <f>IF(Weather_Site!M112&lt;180,Weather_Site!M112+180,Weather_Site!M112-180)</f>
        <v>337</v>
      </c>
      <c r="K114" s="635">
        <f t="shared" si="23"/>
        <v>7.532</v>
      </c>
      <c r="L114" s="635">
        <f t="shared" si="24"/>
        <v>9.7134999999999998</v>
      </c>
      <c r="M114" s="635">
        <f t="shared" si="25"/>
        <v>10.331000000000001</v>
      </c>
      <c r="N114" s="635">
        <f t="shared" si="26"/>
        <v>9.7134999999999998</v>
      </c>
      <c r="O114" s="636">
        <f t="shared" si="27"/>
        <v>0.53868317561659373</v>
      </c>
      <c r="P114" s="635">
        <f>IF($O$11,Weather_Site!H112,IF(0.191*(Weather_Site!K112+104)*(Weather_Site!J112+1)^1.5/(3.52*(Weather_Site!J112+1)^1.5+Weather_Site!I112-1)&gt;10, 10,0.191*(Weather_Site!K112+104)*(Weather_Site!J112+1)^1.5/(3.52*(Weather_Site!J112+1)^1.5+Weather_Site!I112-1)))</f>
        <v>9</v>
      </c>
      <c r="Q114" s="636">
        <f t="shared" si="28"/>
        <v>0.98420578412222115</v>
      </c>
      <c r="R114" s="636">
        <f t="shared" si="29"/>
        <v>0.53017509725117784</v>
      </c>
      <c r="S114" s="635">
        <f t="shared" si="30"/>
        <v>1</v>
      </c>
      <c r="T114" s="707">
        <f t="shared" si="31"/>
        <v>227.28510239547526</v>
      </c>
      <c r="U114" s="707">
        <f t="shared" si="32"/>
        <v>605.9709225445672</v>
      </c>
      <c r="V114" s="707">
        <f t="shared" si="33"/>
        <v>1223.3593870975194</v>
      </c>
      <c r="W114" s="636">
        <f t="shared" si="34"/>
        <v>1</v>
      </c>
      <c r="X114" s="636">
        <f t="shared" si="35"/>
        <v>1.7083292395657131E-5</v>
      </c>
      <c r="Y114" s="707">
        <f t="shared" si="36"/>
        <v>605.98146957222878</v>
      </c>
      <c r="Z114" s="635">
        <f t="shared" si="37"/>
        <v>3.3085232388671773</v>
      </c>
      <c r="AA114" s="707">
        <f t="shared" si="38"/>
        <v>96.346583180524789</v>
      </c>
      <c r="AB114" s="707">
        <f t="shared" si="39"/>
        <v>7201.0797967499848</v>
      </c>
    </row>
    <row r="115" spans="1:28"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41"/>
        <v>0</v>
      </c>
      <c r="I115" s="27">
        <f t="shared" si="22"/>
        <v>5.666666666666667</v>
      </c>
      <c r="J115" s="739">
        <f>IF(Weather_Site!M113&lt;180,Weather_Site!M113+180,Weather_Site!M113-180)</f>
        <v>341</v>
      </c>
      <c r="K115" s="635">
        <f t="shared" si="23"/>
        <v>6.9967300000000003</v>
      </c>
      <c r="L115" s="635">
        <f t="shared" si="24"/>
        <v>8.9429999999999996</v>
      </c>
      <c r="M115" s="635">
        <f t="shared" si="25"/>
        <v>9.4375700000000009</v>
      </c>
      <c r="N115" s="635">
        <f t="shared" si="26"/>
        <v>8.9429999999999996</v>
      </c>
      <c r="O115" s="636">
        <f t="shared" si="27"/>
        <v>0.60620393701810182</v>
      </c>
      <c r="P115" s="635">
        <f>IF($O$11,Weather_Site!H113,IF(0.191*(Weather_Site!K113+104)*(Weather_Site!J113+1)^1.5/(3.52*(Weather_Site!J113+1)^1.5+Weather_Site!I113-1)&gt;10, 10,0.191*(Weather_Site!K113+104)*(Weather_Site!J113+1)^1.5/(3.52*(Weather_Site!J113+1)^1.5+Weather_Site!I113-1)))</f>
        <v>9</v>
      </c>
      <c r="Q115" s="636">
        <f t="shared" si="28"/>
        <v>0.98420578412222115</v>
      </c>
      <c r="R115" s="636">
        <f t="shared" si="29"/>
        <v>0.59662942117087847</v>
      </c>
      <c r="S115" s="635">
        <f t="shared" si="30"/>
        <v>1</v>
      </c>
      <c r="T115" s="707">
        <f t="shared" si="31"/>
        <v>181.29401472207931</v>
      </c>
      <c r="U115" s="707">
        <f t="shared" si="32"/>
        <v>512.9557184501781</v>
      </c>
      <c r="V115" s="707">
        <f t="shared" si="33"/>
        <v>912.91541980576142</v>
      </c>
      <c r="W115" s="636">
        <f t="shared" si="34"/>
        <v>1</v>
      </c>
      <c r="X115" s="636">
        <f t="shared" si="35"/>
        <v>1.2913312183266474E-5</v>
      </c>
      <c r="Y115" s="707">
        <f t="shared" si="36"/>
        <v>512.96088325466246</v>
      </c>
      <c r="Z115" s="635">
        <f t="shared" si="37"/>
        <v>2.9329657763184809</v>
      </c>
      <c r="AA115" s="707">
        <f t="shared" si="38"/>
        <v>108.06456628774383</v>
      </c>
      <c r="AB115" s="707">
        <f t="shared" si="39"/>
        <v>6095.6851626762391</v>
      </c>
    </row>
    <row r="116" spans="1:28"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41"/>
        <v>0</v>
      </c>
      <c r="I116" s="27">
        <f t="shared" si="22"/>
        <v>7.333333333333333</v>
      </c>
      <c r="J116" s="739">
        <f>IF(Weather_Site!M114&lt;180,Weather_Site!M114+180,Weather_Site!M114-180)</f>
        <v>343</v>
      </c>
      <c r="K116" s="635">
        <f t="shared" si="23"/>
        <v>6.1811799999999995</v>
      </c>
      <c r="L116" s="635">
        <f t="shared" si="24"/>
        <v>7.7827000000000011</v>
      </c>
      <c r="M116" s="635">
        <f t="shared" si="25"/>
        <v>8.0892199999999992</v>
      </c>
      <c r="N116" s="635">
        <f t="shared" si="26"/>
        <v>7.7827000000000011</v>
      </c>
      <c r="O116" s="636">
        <f t="shared" si="27"/>
        <v>0.71178674186940305</v>
      </c>
      <c r="P116" s="635">
        <f>IF($O$11,Weather_Site!H114,IF(0.191*(Weather_Site!K114+104)*(Weather_Site!J114+1)^1.5/(3.52*(Weather_Site!J114+1)^1.5+Weather_Site!I114-1)&gt;10, 10,0.191*(Weather_Site!K114+104)*(Weather_Site!J114+1)^1.5/(3.52*(Weather_Site!J114+1)^1.5+Weather_Site!I114-1)))</f>
        <v>9</v>
      </c>
      <c r="Q116" s="636">
        <f t="shared" si="28"/>
        <v>0.98420578412222115</v>
      </c>
      <c r="R116" s="636">
        <f t="shared" si="29"/>
        <v>0.70054462840937681</v>
      </c>
      <c r="S116" s="635">
        <f t="shared" si="30"/>
        <v>1</v>
      </c>
      <c r="T116" s="707">
        <f t="shared" si="31"/>
        <v>275.59304562885842</v>
      </c>
      <c r="U116" s="707">
        <f t="shared" si="32"/>
        <v>745.18933527961508</v>
      </c>
      <c r="V116" s="707">
        <f t="shared" si="33"/>
        <v>1457.316172830627</v>
      </c>
      <c r="W116" s="636">
        <f t="shared" si="34"/>
        <v>1</v>
      </c>
      <c r="X116" s="636">
        <f t="shared" si="35"/>
        <v>9.2094949832445473E-4</v>
      </c>
      <c r="Y116" s="707">
        <f t="shared" si="36"/>
        <v>745.8451681334011</v>
      </c>
      <c r="Z116" s="635">
        <f t="shared" si="37"/>
        <v>3.8445107514728343</v>
      </c>
      <c r="AA116" s="707">
        <f t="shared" si="38"/>
        <v>127.52105870151161</v>
      </c>
      <c r="AB116" s="707">
        <f t="shared" si="39"/>
        <v>8863.1267479852486</v>
      </c>
    </row>
    <row r="117" spans="1:28"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41"/>
        <v>0</v>
      </c>
      <c r="I117" s="27">
        <f t="shared" si="22"/>
        <v>6.666666666666667</v>
      </c>
      <c r="J117" s="739">
        <f>IF(Weather_Site!M115&lt;180,Weather_Site!M115+180,Weather_Site!M115-180)</f>
        <v>339</v>
      </c>
      <c r="K117" s="635">
        <f t="shared" si="23"/>
        <v>5.7451099999999995</v>
      </c>
      <c r="L117" s="635">
        <f t="shared" si="24"/>
        <v>7.1474000000000002</v>
      </c>
      <c r="M117" s="635">
        <f t="shared" si="25"/>
        <v>7.3541900000000009</v>
      </c>
      <c r="N117" s="635">
        <f t="shared" si="26"/>
        <v>7.1474000000000002</v>
      </c>
      <c r="O117" s="636">
        <f t="shared" si="27"/>
        <v>0.76956834506923688</v>
      </c>
      <c r="P117" s="635">
        <f>IF($O$11,Weather_Site!H115,IF(0.191*(Weather_Site!K115+104)*(Weather_Site!J115+1)^1.5/(3.52*(Weather_Site!J115+1)^1.5+Weather_Site!I115-1)&gt;10, 10,0.191*(Weather_Site!K115+104)*(Weather_Site!J115+1)^1.5/(3.52*(Weather_Site!J115+1)^1.5+Weather_Site!I115-1)))</f>
        <v>9</v>
      </c>
      <c r="Q117" s="636">
        <f t="shared" si="28"/>
        <v>0.98420578412222115</v>
      </c>
      <c r="R117" s="636">
        <f t="shared" si="29"/>
        <v>0.75741361649450833</v>
      </c>
      <c r="S117" s="635">
        <f t="shared" si="30"/>
        <v>1</v>
      </c>
      <c r="T117" s="707">
        <f t="shared" si="31"/>
        <v>271.01988547794696</v>
      </c>
      <c r="U117" s="707">
        <f t="shared" si="32"/>
        <v>744.70866274705782</v>
      </c>
      <c r="V117" s="707">
        <f t="shared" si="33"/>
        <v>1406.5034691275582</v>
      </c>
      <c r="W117" s="636">
        <f t="shared" si="34"/>
        <v>1</v>
      </c>
      <c r="X117" s="636">
        <f t="shared" si="35"/>
        <v>2.349686486260522E-3</v>
      </c>
      <c r="Y117" s="707">
        <f t="shared" si="36"/>
        <v>746.26367306028737</v>
      </c>
      <c r="Z117" s="635">
        <f t="shared" si="37"/>
        <v>3.8460702950967676</v>
      </c>
      <c r="AA117" s="707">
        <f t="shared" si="38"/>
        <v>137.99254309546734</v>
      </c>
      <c r="AB117" s="707">
        <f t="shared" si="39"/>
        <v>8868.0999815330815</v>
      </c>
    </row>
    <row r="118" spans="1:28"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41"/>
        <v>0</v>
      </c>
      <c r="I118" s="27">
        <f t="shared" si="22"/>
        <v>6.666666666666667</v>
      </c>
      <c r="J118" s="739">
        <f>IF(Weather_Site!M116&lt;180,Weather_Site!M116+180,Weather_Site!M116-180)</f>
        <v>344</v>
      </c>
      <c r="K118" s="635">
        <f t="shared" si="23"/>
        <v>5.17638</v>
      </c>
      <c r="L118" s="635">
        <f t="shared" si="24"/>
        <v>6.3352000000000013</v>
      </c>
      <c r="M118" s="635">
        <f t="shared" si="25"/>
        <v>6.4110200000000006</v>
      </c>
      <c r="N118" s="635">
        <f t="shared" si="26"/>
        <v>6.3352000000000013</v>
      </c>
      <c r="O118" s="636">
        <f t="shared" si="27"/>
        <v>0.84094008423339095</v>
      </c>
      <c r="P118" s="635">
        <f>IF($O$11,Weather_Site!H116,IF(0.191*(Weather_Site!K116+104)*(Weather_Site!J116+1)^1.5/(3.52*(Weather_Site!J116+1)^1.5+Weather_Site!I116-1)&gt;10, 10,0.191*(Weather_Site!K116+104)*(Weather_Site!J116+1)^1.5/(3.52*(Weather_Site!J116+1)^1.5+Weather_Site!I116-1)))</f>
        <v>9</v>
      </c>
      <c r="Q118" s="636">
        <f t="shared" si="28"/>
        <v>0.98420578412222115</v>
      </c>
      <c r="R118" s="636">
        <f t="shared" si="29"/>
        <v>0.82765809500273124</v>
      </c>
      <c r="S118" s="635">
        <f t="shared" si="30"/>
        <v>1</v>
      </c>
      <c r="T118" s="707">
        <f t="shared" si="31"/>
        <v>296.15496373131595</v>
      </c>
      <c r="U118" s="707">
        <f t="shared" si="32"/>
        <v>813.77485130772038</v>
      </c>
      <c r="V118" s="707">
        <f t="shared" si="33"/>
        <v>1536.9462028694436</v>
      </c>
      <c r="W118" s="636">
        <f t="shared" si="34"/>
        <v>1</v>
      </c>
      <c r="X118" s="636">
        <f t="shared" si="35"/>
        <v>1.5316147710384146E-2</v>
      </c>
      <c r="Y118" s="707">
        <f t="shared" si="36"/>
        <v>824.8510505481579</v>
      </c>
      <c r="Z118" s="635">
        <f t="shared" si="37"/>
        <v>4.1348103364679911</v>
      </c>
      <c r="AA118" s="707">
        <f t="shared" si="38"/>
        <v>152.52423271970375</v>
      </c>
      <c r="AB118" s="707">
        <f t="shared" si="39"/>
        <v>9801.9799840139422</v>
      </c>
    </row>
    <row r="119" spans="1:28"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41"/>
        <v>0</v>
      </c>
      <c r="I119" s="27">
        <f t="shared" si="22"/>
        <v>6.666666666666667</v>
      </c>
      <c r="J119" s="739">
        <f>IF(Weather_Site!M117&lt;180,Weather_Site!M117+180,Weather_Site!M117-180)</f>
        <v>358</v>
      </c>
      <c r="K119" s="635">
        <f t="shared" si="23"/>
        <v>4.6628600000000002</v>
      </c>
      <c r="L119" s="635">
        <f t="shared" si="24"/>
        <v>5.6041000000000007</v>
      </c>
      <c r="M119" s="635">
        <f t="shared" si="25"/>
        <v>5.5615399999999999</v>
      </c>
      <c r="N119" s="635">
        <f t="shared" si="26"/>
        <v>4.6628600000000002</v>
      </c>
      <c r="O119" s="636">
        <f t="shared" si="27"/>
        <v>0.96669603872655374</v>
      </c>
      <c r="P119" s="635">
        <f>IF($O$11,Weather_Site!H117,IF(0.191*(Weather_Site!K117+104)*(Weather_Site!J117+1)^1.5/(3.52*(Weather_Site!J117+1)^1.5+Weather_Site!I117-1)&gt;10, 10,0.191*(Weather_Site!K117+104)*(Weather_Site!J117+1)^1.5/(3.52*(Weather_Site!J117+1)^1.5+Weather_Site!I117-1)))</f>
        <v>9</v>
      </c>
      <c r="Q119" s="636">
        <f t="shared" si="28"/>
        <v>0.98420578412222115</v>
      </c>
      <c r="R119" s="636">
        <f t="shared" si="29"/>
        <v>0.95142783280271293</v>
      </c>
      <c r="S119" s="635">
        <f t="shared" si="30"/>
        <v>1</v>
      </c>
      <c r="T119" s="707">
        <f t="shared" si="31"/>
        <v>340.44260186414556</v>
      </c>
      <c r="U119" s="707">
        <f t="shared" si="32"/>
        <v>935.46845955333697</v>
      </c>
      <c r="V119" s="707">
        <f t="shared" si="33"/>
        <v>1766.7843808446144</v>
      </c>
      <c r="W119" s="636">
        <f t="shared" si="34"/>
        <v>1</v>
      </c>
      <c r="X119" s="636">
        <f t="shared" si="35"/>
        <v>0.30210389196982462</v>
      </c>
      <c r="Y119" s="707">
        <f t="shared" si="36"/>
        <v>1186.6122348319122</v>
      </c>
      <c r="Z119" s="635">
        <f t="shared" si="37"/>
        <v>5.3782546574991734</v>
      </c>
      <c r="AA119" s="707">
        <f t="shared" si="38"/>
        <v>219.41794283134473</v>
      </c>
      <c r="AB119" s="707">
        <f t="shared" si="39"/>
        <v>14100.908723919225</v>
      </c>
    </row>
    <row r="120" spans="1:28"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41"/>
        <v>0</v>
      </c>
      <c r="I120" s="27">
        <f t="shared" si="22"/>
        <v>6.666666666666667</v>
      </c>
      <c r="J120" s="739">
        <f>IF(Weather_Site!M118&lt;180,Weather_Site!M118+180,Weather_Site!M118-180)</f>
        <v>356</v>
      </c>
      <c r="K120" s="635">
        <f t="shared" si="23"/>
        <v>4.1561300000000001</v>
      </c>
      <c r="L120" s="635">
        <f t="shared" si="24"/>
        <v>4.8764000000000003</v>
      </c>
      <c r="M120" s="635">
        <f t="shared" si="25"/>
        <v>4.7173700000000007</v>
      </c>
      <c r="N120" s="635">
        <f t="shared" si="26"/>
        <v>4.1561300000000001</v>
      </c>
      <c r="O120" s="636">
        <f t="shared" si="27"/>
        <v>0.99560035596114915</v>
      </c>
      <c r="P120" s="635">
        <f>IF($O$11,Weather_Site!H118,IF(0.191*(Weather_Site!K118+104)*(Weather_Site!J118+1)^1.5/(3.52*(Weather_Site!J118+1)^1.5+Weather_Site!I118-1)&gt;10, 10,0.191*(Weather_Site!K118+104)*(Weather_Site!J118+1)^1.5/(3.52*(Weather_Site!J118+1)^1.5+Weather_Site!I118-1)))</f>
        <v>9</v>
      </c>
      <c r="Q120" s="636">
        <f t="shared" si="28"/>
        <v>0.98420578412222115</v>
      </c>
      <c r="R120" s="636">
        <f t="shared" si="29"/>
        <v>0.97987562901110525</v>
      </c>
      <c r="S120" s="635">
        <f t="shared" si="30"/>
        <v>1</v>
      </c>
      <c r="T120" s="707">
        <f t="shared" si="31"/>
        <v>350.62187287617434</v>
      </c>
      <c r="U120" s="707">
        <f t="shared" si="32"/>
        <v>963.43906875693619</v>
      </c>
      <c r="V120" s="707">
        <f t="shared" si="33"/>
        <v>1819.6114269720954</v>
      </c>
      <c r="W120" s="636">
        <f t="shared" si="34"/>
        <v>1</v>
      </c>
      <c r="X120" s="636">
        <f t="shared" si="35"/>
        <v>0.48180546939940178</v>
      </c>
      <c r="Y120" s="707">
        <f t="shared" si="36"/>
        <v>1375.9475936935837</v>
      </c>
      <c r="Z120" s="635">
        <f t="shared" si="37"/>
        <v>5.9858420446055352</v>
      </c>
      <c r="AA120" s="707">
        <f t="shared" si="38"/>
        <v>254.4281793072455</v>
      </c>
      <c r="AB120" s="707">
        <f t="shared" si="39"/>
        <v>16350.843905058753</v>
      </c>
    </row>
    <row r="121" spans="1:28"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41"/>
        <v>0</v>
      </c>
      <c r="I121" s="27">
        <f t="shared" si="22"/>
        <v>6</v>
      </c>
      <c r="J121" s="739">
        <f>IF(Weather_Site!M119&lt;180,Weather_Site!M119+180,Weather_Site!M119-180)</f>
        <v>356</v>
      </c>
      <c r="K121" s="635">
        <f t="shared" si="23"/>
        <v>3.8912999999999998</v>
      </c>
      <c r="L121" s="635">
        <f t="shared" si="24"/>
        <v>4.4979000000000013</v>
      </c>
      <c r="M121" s="635">
        <f t="shared" si="25"/>
        <v>4.2779000000000007</v>
      </c>
      <c r="N121" s="635">
        <f t="shared" si="26"/>
        <v>3.8912999999999998</v>
      </c>
      <c r="O121" s="636">
        <f t="shared" si="27"/>
        <v>1</v>
      </c>
      <c r="P121" s="635">
        <f>IF($O$11,Weather_Site!H119,IF(0.191*(Weather_Site!K119+104)*(Weather_Site!J119+1)^1.5/(3.52*(Weather_Site!J119+1)^1.5+Weather_Site!I119-1)&gt;10, 10,0.191*(Weather_Site!K119+104)*(Weather_Site!J119+1)^1.5/(3.52*(Weather_Site!J119+1)^1.5+Weather_Site!I119-1)))</f>
        <v>9</v>
      </c>
      <c r="Q121" s="636">
        <f t="shared" si="28"/>
        <v>0.98420578412222115</v>
      </c>
      <c r="R121" s="636">
        <f t="shared" si="29"/>
        <v>0.98420578412222115</v>
      </c>
      <c r="S121" s="635">
        <f t="shared" si="30"/>
        <v>1</v>
      </c>
      <c r="T121" s="707">
        <f t="shared" si="31"/>
        <v>316.85202059698088</v>
      </c>
      <c r="U121" s="707">
        <f t="shared" si="32"/>
        <v>887.06962410911797</v>
      </c>
      <c r="V121" s="707">
        <f t="shared" si="33"/>
        <v>1612.0690086299021</v>
      </c>
      <c r="W121" s="636">
        <f t="shared" si="34"/>
        <v>1</v>
      </c>
      <c r="X121" s="636">
        <f t="shared" si="35"/>
        <v>0.36664331132234329</v>
      </c>
      <c r="Y121" s="707">
        <f t="shared" si="36"/>
        <v>1152.8857991564792</v>
      </c>
      <c r="Z121" s="635">
        <f t="shared" si="37"/>
        <v>5.2672941399947835</v>
      </c>
      <c r="AA121" s="707">
        <f t="shared" si="38"/>
        <v>232.09973408690593</v>
      </c>
      <c r="AB121" s="707">
        <f t="shared" si="39"/>
        <v>13700.126246642825</v>
      </c>
    </row>
    <row r="122" spans="1:28"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41"/>
        <v>0</v>
      </c>
      <c r="I122" s="27">
        <f t="shared" si="22"/>
        <v>6.333333333333333</v>
      </c>
      <c r="J122" s="739">
        <f>IF(Weather_Site!M120&lt;180,Weather_Site!M120+180,Weather_Site!M120-180)</f>
        <v>359</v>
      </c>
      <c r="K122" s="635">
        <f t="shared" si="23"/>
        <v>3.71888</v>
      </c>
      <c r="L122" s="635">
        <f t="shared" si="24"/>
        <v>4.2512000000000008</v>
      </c>
      <c r="M122" s="635">
        <f t="shared" si="25"/>
        <v>3.9915199999999995</v>
      </c>
      <c r="N122" s="635">
        <f t="shared" si="26"/>
        <v>3.71888</v>
      </c>
      <c r="O122" s="636">
        <f t="shared" si="27"/>
        <v>1</v>
      </c>
      <c r="P122" s="635">
        <f>IF($O$11,Weather_Site!H120,IF(0.191*(Weather_Site!K120+104)*(Weather_Site!J120+1)^1.5/(3.52*(Weather_Site!J120+1)^1.5+Weather_Site!I120-1)&gt;10, 10,0.191*(Weather_Site!K120+104)*(Weather_Site!J120+1)^1.5/(3.52*(Weather_Site!J120+1)^1.5+Weather_Site!I120-1)))</f>
        <v>9</v>
      </c>
      <c r="Q122" s="636">
        <f t="shared" si="28"/>
        <v>0.98420578412222115</v>
      </c>
      <c r="R122" s="636">
        <f t="shared" si="29"/>
        <v>0.98420578412222115</v>
      </c>
      <c r="S122" s="635">
        <f t="shared" si="30"/>
        <v>1</v>
      </c>
      <c r="T122" s="707">
        <f t="shared" si="31"/>
        <v>334.55237175111222</v>
      </c>
      <c r="U122" s="707">
        <f t="shared" si="32"/>
        <v>927.56812051340626</v>
      </c>
      <c r="V122" s="707">
        <f t="shared" si="33"/>
        <v>1719.3179162362478</v>
      </c>
      <c r="W122" s="636">
        <f t="shared" si="34"/>
        <v>1</v>
      </c>
      <c r="X122" s="636">
        <f t="shared" si="35"/>
        <v>0.43744343550266018</v>
      </c>
      <c r="Y122" s="707">
        <f t="shared" si="36"/>
        <v>1273.9138712129354</v>
      </c>
      <c r="Z122" s="635">
        <f t="shared" si="37"/>
        <v>5.6615109527671077</v>
      </c>
      <c r="AA122" s="707">
        <f t="shared" si="38"/>
        <v>245.5690244453958</v>
      </c>
      <c r="AB122" s="707">
        <f t="shared" si="39"/>
        <v>15138.343169580383</v>
      </c>
    </row>
    <row r="123" spans="1:28"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41"/>
        <v>0</v>
      </c>
      <c r="I123" s="27">
        <f t="shared" si="22"/>
        <v>6.333333333333333</v>
      </c>
      <c r="J123" s="739">
        <f>IF(Weather_Site!M121&lt;180,Weather_Site!M121+180,Weather_Site!M121-180)</f>
        <v>357</v>
      </c>
      <c r="K123" s="635">
        <f t="shared" si="23"/>
        <v>3.5663399999999994</v>
      </c>
      <c r="L123" s="635">
        <f t="shared" si="24"/>
        <v>4.0394000000000005</v>
      </c>
      <c r="M123" s="635">
        <f t="shared" si="25"/>
        <v>3.7442600000000006</v>
      </c>
      <c r="N123" s="635">
        <f t="shared" si="26"/>
        <v>3.5663399999999994</v>
      </c>
      <c r="O123" s="636">
        <f t="shared" si="27"/>
        <v>1</v>
      </c>
      <c r="P123" s="635">
        <f>IF($O$11,Weather_Site!H121,IF(0.191*(Weather_Site!K121+104)*(Weather_Site!J121+1)^1.5/(3.52*(Weather_Site!J121+1)^1.5+Weather_Site!I121-1)&gt;10, 10,0.191*(Weather_Site!K121+104)*(Weather_Site!J121+1)^1.5/(3.52*(Weather_Site!J121+1)^1.5+Weather_Site!I121-1)))</f>
        <v>9</v>
      </c>
      <c r="Q123" s="636">
        <f t="shared" si="28"/>
        <v>0.98420578412222115</v>
      </c>
      <c r="R123" s="636">
        <f t="shared" si="29"/>
        <v>0.98420578412222115</v>
      </c>
      <c r="S123" s="635">
        <f t="shared" si="30"/>
        <v>1</v>
      </c>
      <c r="T123" s="707">
        <f t="shared" si="31"/>
        <v>334.55237175111222</v>
      </c>
      <c r="U123" s="707">
        <f t="shared" si="32"/>
        <v>927.56812051340626</v>
      </c>
      <c r="V123" s="707">
        <f t="shared" si="33"/>
        <v>1719.3179162362478</v>
      </c>
      <c r="W123" s="636">
        <f t="shared" si="34"/>
        <v>1</v>
      </c>
      <c r="X123" s="636">
        <f t="shared" si="35"/>
        <v>0.43744343550266018</v>
      </c>
      <c r="Y123" s="707">
        <f t="shared" si="36"/>
        <v>1273.9138712129354</v>
      </c>
      <c r="Z123" s="635">
        <f t="shared" si="37"/>
        <v>5.6615109527671077</v>
      </c>
      <c r="AA123" s="707">
        <f t="shared" si="38"/>
        <v>245.5690244453958</v>
      </c>
      <c r="AB123" s="707">
        <f t="shared" si="39"/>
        <v>15138.343169580383</v>
      </c>
    </row>
    <row r="124" spans="1:28"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41"/>
        <v>0</v>
      </c>
      <c r="I124" s="27">
        <f t="shared" si="22"/>
        <v>7</v>
      </c>
      <c r="J124" s="739">
        <f>IF(Weather_Site!M122&lt;180,Weather_Site!M122+180,Weather_Site!M122-180)</f>
        <v>353</v>
      </c>
      <c r="K124" s="635">
        <f t="shared" si="23"/>
        <v>3.60236</v>
      </c>
      <c r="L124" s="635">
        <f t="shared" si="24"/>
        <v>4.100200000000001</v>
      </c>
      <c r="M124" s="635">
        <f t="shared" si="25"/>
        <v>3.81284</v>
      </c>
      <c r="N124" s="635">
        <f t="shared" si="26"/>
        <v>4.100200000000001</v>
      </c>
      <c r="O124" s="636">
        <f t="shared" si="27"/>
        <v>0.99844505850755771</v>
      </c>
      <c r="P124" s="635">
        <f>IF($O$11,Weather_Site!H122,IF(0.191*(Weather_Site!K122+104)*(Weather_Site!J122+1)^1.5/(3.52*(Weather_Site!J122+1)^1.5+Weather_Site!I122-1)&gt;10, 10,0.191*(Weather_Site!K122+104)*(Weather_Site!J122+1)^1.5/(3.52*(Weather_Site!J122+1)^1.5+Weather_Site!I122-1)))</f>
        <v>9</v>
      </c>
      <c r="Q124" s="636">
        <f t="shared" si="28"/>
        <v>0.98420578412222115</v>
      </c>
      <c r="R124" s="636">
        <f t="shared" si="29"/>
        <v>0.98267540171138779</v>
      </c>
      <c r="S124" s="635">
        <f t="shared" si="30"/>
        <v>1</v>
      </c>
      <c r="T124" s="707">
        <f t="shared" si="31"/>
        <v>369.13906307702928</v>
      </c>
      <c r="U124" s="707">
        <f t="shared" si="32"/>
        <v>1005.9101135395211</v>
      </c>
      <c r="V124" s="707">
        <f t="shared" si="33"/>
        <v>1934.0164886905163</v>
      </c>
      <c r="W124" s="636">
        <f t="shared" si="34"/>
        <v>1</v>
      </c>
      <c r="X124" s="636">
        <f t="shared" si="35"/>
        <v>0.57383838381833563</v>
      </c>
      <c r="Y124" s="707">
        <f t="shared" si="36"/>
        <v>1538.4931758676621</v>
      </c>
      <c r="Z124" s="635">
        <f t="shared" si="37"/>
        <v>6.4891256553464602</v>
      </c>
      <c r="AA124" s="707">
        <f t="shared" si="38"/>
        <v>273.34467626104436</v>
      </c>
      <c r="AB124" s="707">
        <f t="shared" si="39"/>
        <v>18282.427239894052</v>
      </c>
    </row>
    <row r="125" spans="1:28"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41"/>
        <v>0</v>
      </c>
      <c r="I125" s="27">
        <f t="shared" si="22"/>
        <v>6.333333333333333</v>
      </c>
      <c r="J125" s="739">
        <f>IF(Weather_Site!M123&lt;180,Weather_Site!M123+180,Weather_Site!M123-180)</f>
        <v>356</v>
      </c>
      <c r="K125" s="635">
        <f t="shared" si="23"/>
        <v>3.6365099999999995</v>
      </c>
      <c r="L125" s="635">
        <f t="shared" si="24"/>
        <v>4.1565000000000003</v>
      </c>
      <c r="M125" s="635">
        <f t="shared" si="25"/>
        <v>3.8765900000000002</v>
      </c>
      <c r="N125" s="635">
        <f t="shared" si="26"/>
        <v>4.1565000000000003</v>
      </c>
      <c r="O125" s="636">
        <f t="shared" si="27"/>
        <v>0.99558129501841497</v>
      </c>
      <c r="P125" s="635">
        <f>IF($O$11,Weather_Site!H123,IF(0.191*(Weather_Site!K123+104)*(Weather_Site!J123+1)^1.5/(3.52*(Weather_Site!J123+1)^1.5+Weather_Site!I123-1)&gt;10, 10,0.191*(Weather_Site!K123+104)*(Weather_Site!J123+1)^1.5/(3.52*(Weather_Site!J123+1)^1.5+Weather_Site!I123-1)))</f>
        <v>9</v>
      </c>
      <c r="Q125" s="636">
        <f t="shared" si="28"/>
        <v>0.98420578412222115</v>
      </c>
      <c r="R125" s="636">
        <f t="shared" si="29"/>
        <v>0.97985686912101544</v>
      </c>
      <c r="S125" s="635">
        <f t="shared" si="30"/>
        <v>1</v>
      </c>
      <c r="T125" s="707">
        <f t="shared" si="31"/>
        <v>333.07408351945446</v>
      </c>
      <c r="U125" s="707">
        <f t="shared" si="32"/>
        <v>923.46947063853418</v>
      </c>
      <c r="V125" s="707">
        <f t="shared" si="33"/>
        <v>1711.7207575948462</v>
      </c>
      <c r="W125" s="636">
        <f t="shared" si="34"/>
        <v>1</v>
      </c>
      <c r="X125" s="636">
        <f t="shared" si="35"/>
        <v>0.40892421068724516</v>
      </c>
      <c r="Y125" s="707">
        <f t="shared" si="36"/>
        <v>1245.8045059803494</v>
      </c>
      <c r="Z125" s="635">
        <f t="shared" si="37"/>
        <v>5.5709127860078986</v>
      </c>
      <c r="AA125" s="707">
        <f t="shared" si="38"/>
        <v>240.15045608380547</v>
      </c>
      <c r="AB125" s="707">
        <f t="shared" si="39"/>
        <v>14804.310212733151</v>
      </c>
    </row>
    <row r="126" spans="1:28"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ref="H126:H157" si="42">C$4</f>
        <v>0</v>
      </c>
      <c r="I126" s="27">
        <f t="shared" si="22"/>
        <v>5.666666666666667</v>
      </c>
      <c r="J126" s="739">
        <f>IF(Weather_Site!M124&lt;180,Weather_Site!M124+180,Weather_Site!M124-180)</f>
        <v>350</v>
      </c>
      <c r="K126" s="635">
        <f t="shared" si="23"/>
        <v>3.9516299999999998</v>
      </c>
      <c r="L126" s="635">
        <f t="shared" si="24"/>
        <v>4.6172000000000004</v>
      </c>
      <c r="M126" s="635">
        <f t="shared" si="25"/>
        <v>4.4092700000000002</v>
      </c>
      <c r="N126" s="635">
        <f t="shared" si="26"/>
        <v>4.4092700000000002</v>
      </c>
      <c r="O126" s="636">
        <f t="shared" si="27"/>
        <v>0.98184115104659719</v>
      </c>
      <c r="P126" s="635">
        <f>IF($O$11,Weather_Site!H124,IF(0.191*(Weather_Site!K124+104)*(Weather_Site!J124+1)^1.5/(3.52*(Weather_Site!J124+1)^1.5+Weather_Site!I124-1)&gt;10, 10,0.191*(Weather_Site!K124+104)*(Weather_Site!J124+1)^1.5/(3.52*(Weather_Site!J124+1)^1.5+Weather_Site!I124-1)))</f>
        <v>9</v>
      </c>
      <c r="Q126" s="636">
        <f t="shared" si="28"/>
        <v>0.98420578412222115</v>
      </c>
      <c r="R126" s="636">
        <f t="shared" si="29"/>
        <v>0.9663337399492804</v>
      </c>
      <c r="S126" s="635">
        <f t="shared" si="30"/>
        <v>1</v>
      </c>
      <c r="T126" s="707">
        <f t="shared" si="31"/>
        <v>293.63373152634239</v>
      </c>
      <c r="U126" s="707">
        <f t="shared" si="32"/>
        <v>830.81122091758687</v>
      </c>
      <c r="V126" s="707">
        <f t="shared" si="33"/>
        <v>1478.607893903386</v>
      </c>
      <c r="W126" s="636">
        <f t="shared" si="34"/>
        <v>1</v>
      </c>
      <c r="X126" s="636">
        <f t="shared" si="35"/>
        <v>0.2104812723101987</v>
      </c>
      <c r="Y126" s="707">
        <f t="shared" si="36"/>
        <v>967.16028884595153</v>
      </c>
      <c r="Z126" s="635">
        <f t="shared" si="37"/>
        <v>4.6390757885062825</v>
      </c>
      <c r="AA126" s="707">
        <f t="shared" si="38"/>
        <v>203.74995551654828</v>
      </c>
      <c r="AB126" s="707">
        <f t="shared" si="39"/>
        <v>11493.088099119392</v>
      </c>
    </row>
    <row r="127" spans="1:28"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si="42"/>
        <v>0</v>
      </c>
      <c r="I127" s="27">
        <f t="shared" si="22"/>
        <v>4.666666666666667</v>
      </c>
      <c r="J127" s="739">
        <f>IF(Weather_Site!M125&lt;180,Weather_Site!M125+180,Weather_Site!M125-180)</f>
        <v>349</v>
      </c>
      <c r="K127" s="635">
        <f t="shared" si="23"/>
        <v>4.4218499999999992</v>
      </c>
      <c r="L127" s="635">
        <f t="shared" si="24"/>
        <v>5.3088000000000006</v>
      </c>
      <c r="M127" s="635">
        <f t="shared" si="25"/>
        <v>5.2080500000000001</v>
      </c>
      <c r="N127" s="635">
        <f t="shared" si="26"/>
        <v>5.2080500000000001</v>
      </c>
      <c r="O127" s="636">
        <f t="shared" si="27"/>
        <v>0.93007790221312558</v>
      </c>
      <c r="P127" s="635">
        <f>IF($O$11,Weather_Site!H125,IF(0.191*(Weather_Site!K125+104)*(Weather_Site!J125+1)^1.5/(3.52*(Weather_Site!J125+1)^1.5+Weather_Site!I125-1)&gt;10, 10,0.191*(Weather_Site!K125+104)*(Weather_Site!J125+1)^1.5/(3.52*(Weather_Site!J125+1)^1.5+Weather_Site!I125-1)))</f>
        <v>9</v>
      </c>
      <c r="Q127" s="636">
        <f t="shared" si="28"/>
        <v>0.98420578412222115</v>
      </c>
      <c r="R127" s="636">
        <f t="shared" si="29"/>
        <v>0.91538805104241983</v>
      </c>
      <c r="S127" s="635">
        <f t="shared" si="30"/>
        <v>1</v>
      </c>
      <c r="T127" s="707">
        <f t="shared" si="31"/>
        <v>227.96674294345902</v>
      </c>
      <c r="U127" s="707">
        <f t="shared" si="32"/>
        <v>670.43632538386612</v>
      </c>
      <c r="V127" s="707">
        <f t="shared" si="33"/>
        <v>1111.4279942772107</v>
      </c>
      <c r="W127" s="636">
        <f t="shared" si="34"/>
        <v>1</v>
      </c>
      <c r="X127" s="636">
        <f t="shared" si="35"/>
        <v>2.7214577755464955E-2</v>
      </c>
      <c r="Y127" s="707">
        <f t="shared" si="36"/>
        <v>682.43772744647629</v>
      </c>
      <c r="Z127" s="635">
        <f t="shared" si="37"/>
        <v>3.6053186326250697</v>
      </c>
      <c r="AA127" s="707">
        <f t="shared" si="38"/>
        <v>167.03488531585967</v>
      </c>
      <c r="AB127" s="707">
        <f t="shared" si="39"/>
        <v>8109.6349944889589</v>
      </c>
    </row>
    <row r="128" spans="1:28"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42"/>
        <v>0</v>
      </c>
      <c r="I128" s="27">
        <f t="shared" si="22"/>
        <v>4</v>
      </c>
      <c r="J128" s="739">
        <f>IF(Weather_Site!M126&lt;180,Weather_Site!M126+180,Weather_Site!M126-180)</f>
        <v>352</v>
      </c>
      <c r="K128" s="635">
        <f t="shared" si="23"/>
        <v>4.9980599999999997</v>
      </c>
      <c r="L128" s="635">
        <f t="shared" si="24"/>
        <v>6.1390000000000011</v>
      </c>
      <c r="M128" s="635">
        <f t="shared" si="25"/>
        <v>6.1705399999999999</v>
      </c>
      <c r="N128" s="635">
        <f t="shared" si="26"/>
        <v>6.1705399999999999</v>
      </c>
      <c r="O128" s="636">
        <f t="shared" si="27"/>
        <v>0.85483372865439988</v>
      </c>
      <c r="P128" s="635">
        <f>IF($O$11,Weather_Site!H126,IF(0.191*(Weather_Site!K126+104)*(Weather_Site!J126+1)^1.5/(3.52*(Weather_Site!J126+1)^1.5+Weather_Site!I126-1)&gt;10, 10,0.191*(Weather_Site!K126+104)*(Weather_Site!J126+1)^1.5/(3.52*(Weather_Site!J126+1)^1.5+Weather_Site!I126-1)))</f>
        <v>9</v>
      </c>
      <c r="Q128" s="636">
        <f t="shared" si="28"/>
        <v>0.98420578412222115</v>
      </c>
      <c r="R128" s="636">
        <f t="shared" si="29"/>
        <v>0.84133230020442562</v>
      </c>
      <c r="S128" s="635">
        <f t="shared" si="30"/>
        <v>1</v>
      </c>
      <c r="T128" s="707">
        <f t="shared" si="31"/>
        <v>178.26493281584683</v>
      </c>
      <c r="U128" s="707">
        <f t="shared" si="32"/>
        <v>542.55349544623652</v>
      </c>
      <c r="V128" s="707">
        <f t="shared" si="33"/>
        <v>850.14162998832626</v>
      </c>
      <c r="W128" s="636">
        <f t="shared" si="34"/>
        <v>1</v>
      </c>
      <c r="X128" s="636">
        <f t="shared" si="35"/>
        <v>2.1146679621155684E-3</v>
      </c>
      <c r="Y128" s="707">
        <f t="shared" si="36"/>
        <v>543.20394221987965</v>
      </c>
      <c r="Z128" s="635">
        <f t="shared" si="37"/>
        <v>3.0569917727870481</v>
      </c>
      <c r="AA128" s="707">
        <f t="shared" si="38"/>
        <v>149.03532216304862</v>
      </c>
      <c r="AB128" s="707">
        <f t="shared" si="39"/>
        <v>6455.0735133795697</v>
      </c>
    </row>
    <row r="129" spans="1:28"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42"/>
        <v>0</v>
      </c>
      <c r="I129" s="27">
        <f t="shared" si="22"/>
        <v>3.6666666666666665</v>
      </c>
      <c r="J129" s="739">
        <f>IF(Weather_Site!M127&lt;180,Weather_Site!M127+180,Weather_Site!M127-180)</f>
        <v>349</v>
      </c>
      <c r="K129" s="635">
        <f t="shared" si="23"/>
        <v>5.4675899999999995</v>
      </c>
      <c r="L129" s="635">
        <f t="shared" si="24"/>
        <v>6.8159999999999998</v>
      </c>
      <c r="M129" s="635">
        <f t="shared" si="25"/>
        <v>6.9553100000000008</v>
      </c>
      <c r="N129" s="635">
        <f t="shared" si="26"/>
        <v>6.9553100000000008</v>
      </c>
      <c r="O129" s="636">
        <f t="shared" si="27"/>
        <v>0.78678758948431748</v>
      </c>
      <c r="P129" s="635">
        <f>IF($O$11,Weather_Site!H127,IF(0.191*(Weather_Site!K127+104)*(Weather_Site!J127+1)^1.5/(3.52*(Weather_Site!J127+1)^1.5+Weather_Site!I127-1)&gt;10, 10,0.191*(Weather_Site!K127+104)*(Weather_Site!J127+1)^1.5/(3.52*(Weather_Site!J127+1)^1.5+Weather_Site!I127-1)))</f>
        <v>9</v>
      </c>
      <c r="Q129" s="636">
        <f t="shared" si="28"/>
        <v>0.98420578412222115</v>
      </c>
      <c r="R129" s="636">
        <f t="shared" si="29"/>
        <v>0.77436089644604489</v>
      </c>
      <c r="S129" s="635">
        <f t="shared" si="30"/>
        <v>1</v>
      </c>
      <c r="T129" s="707">
        <f t="shared" si="31"/>
        <v>149.51722549260316</v>
      </c>
      <c r="U129" s="707">
        <f t="shared" si="32"/>
        <v>464.74719829655567</v>
      </c>
      <c r="V129" s="707">
        <f t="shared" si="33"/>
        <v>705.42423831830718</v>
      </c>
      <c r="W129" s="636">
        <f t="shared" si="34"/>
        <v>1</v>
      </c>
      <c r="X129" s="636">
        <f t="shared" si="35"/>
        <v>2.6077549454799688E-4</v>
      </c>
      <c r="Y129" s="707">
        <f t="shared" si="36"/>
        <v>464.80996097069368</v>
      </c>
      <c r="Z129" s="635">
        <f t="shared" si="37"/>
        <v>2.7312170637045248</v>
      </c>
      <c r="AA129" s="707">
        <f t="shared" si="38"/>
        <v>135.73471585407478</v>
      </c>
      <c r="AB129" s="707">
        <f t="shared" si="39"/>
        <v>5523.4917028684094</v>
      </c>
    </row>
    <row r="130" spans="1:28"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42"/>
        <v>0</v>
      </c>
      <c r="I130" s="27">
        <f t="shared" si="22"/>
        <v>3.3333333333333335</v>
      </c>
      <c r="J130" s="739">
        <f>IF(Weather_Site!M128&lt;180,Weather_Site!M128+180,Weather_Site!M128-180)</f>
        <v>333</v>
      </c>
      <c r="K130" s="635">
        <f t="shared" si="23"/>
        <v>5.5333300000000003</v>
      </c>
      <c r="L130" s="635">
        <f t="shared" si="24"/>
        <v>6.9094999999999995</v>
      </c>
      <c r="M130" s="635">
        <f t="shared" si="25"/>
        <v>7.0639700000000012</v>
      </c>
      <c r="N130" s="635">
        <f t="shared" si="26"/>
        <v>7.0639700000000012</v>
      </c>
      <c r="O130" s="636">
        <f t="shared" si="27"/>
        <v>0.77706702792080673</v>
      </c>
      <c r="P130" s="635">
        <f>IF($O$11,Weather_Site!H128,IF(0.191*(Weather_Site!K128+104)*(Weather_Site!J128+1)^1.5/(3.52*(Weather_Site!J128+1)^1.5+Weather_Site!I128-1)&gt;10, 10,0.191*(Weather_Site!K128+104)*(Weather_Site!J128+1)^1.5/(3.52*(Weather_Site!J128+1)^1.5+Weather_Site!I128-1)))</f>
        <v>9</v>
      </c>
      <c r="Q130" s="636">
        <f t="shared" si="28"/>
        <v>0.98420578412222115</v>
      </c>
      <c r="R130" s="636">
        <f t="shared" si="29"/>
        <v>0.76479386353032153</v>
      </c>
      <c r="S130" s="635">
        <f t="shared" si="30"/>
        <v>1</v>
      </c>
      <c r="T130" s="707">
        <f t="shared" si="31"/>
        <v>133.15883453818651</v>
      </c>
      <c r="U130" s="707">
        <f t="shared" si="32"/>
        <v>424.26795904352616</v>
      </c>
      <c r="V130" s="707">
        <f t="shared" si="33"/>
        <v>621.92939037304154</v>
      </c>
      <c r="W130" s="636">
        <f t="shared" si="34"/>
        <v>1</v>
      </c>
      <c r="X130" s="636">
        <f t="shared" si="35"/>
        <v>1.5014054443842994E-4</v>
      </c>
      <c r="Y130" s="707">
        <f t="shared" si="36"/>
        <v>424.29763603844049</v>
      </c>
      <c r="Z130" s="635">
        <f t="shared" si="37"/>
        <v>2.5569482373948844</v>
      </c>
      <c r="AA130" s="707">
        <f t="shared" si="38"/>
        <v>132.4274769158678</v>
      </c>
      <c r="AB130" s="707">
        <f t="shared" si="39"/>
        <v>5042.0702415901342</v>
      </c>
    </row>
    <row r="131" spans="1:28"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42"/>
        <v>0</v>
      </c>
      <c r="I131" s="27">
        <f t="shared" si="22"/>
        <v>4</v>
      </c>
      <c r="J131" s="739">
        <f>IF(Weather_Site!M129&lt;180,Weather_Site!M129+180,Weather_Site!M129-180)</f>
        <v>332</v>
      </c>
      <c r="K131" s="635">
        <f t="shared" si="23"/>
        <v>5.76844</v>
      </c>
      <c r="L131" s="635">
        <f t="shared" si="24"/>
        <v>7.2553000000000001</v>
      </c>
      <c r="M131" s="635">
        <f t="shared" si="25"/>
        <v>7.4633600000000007</v>
      </c>
      <c r="N131" s="635">
        <f t="shared" si="26"/>
        <v>7.4633600000000007</v>
      </c>
      <c r="O131" s="636">
        <f t="shared" si="27"/>
        <v>0.74094819255897526</v>
      </c>
      <c r="P131" s="635">
        <f>IF($O$11,Weather_Site!H129,IF(0.191*(Weather_Site!K129+104)*(Weather_Site!J129+1)^1.5/(3.52*(Weather_Site!J129+1)^1.5+Weather_Site!I129-1)&gt;10, 10,0.191*(Weather_Site!K129+104)*(Weather_Site!J129+1)^1.5/(3.52*(Weather_Site!J129+1)^1.5+Weather_Site!I129-1)))</f>
        <v>9</v>
      </c>
      <c r="Q131" s="636">
        <f t="shared" si="28"/>
        <v>0.98420578412222115</v>
      </c>
      <c r="R131" s="636">
        <f t="shared" si="29"/>
        <v>0.72924549685144879</v>
      </c>
      <c r="S131" s="635">
        <f t="shared" si="30"/>
        <v>1</v>
      </c>
      <c r="T131" s="707">
        <f t="shared" si="31"/>
        <v>154.51552195356751</v>
      </c>
      <c r="U131" s="707">
        <f t="shared" si="32"/>
        <v>470.27160761454837</v>
      </c>
      <c r="V131" s="707">
        <f t="shared" si="33"/>
        <v>736.88120045349524</v>
      </c>
      <c r="W131" s="636">
        <f t="shared" si="34"/>
        <v>1</v>
      </c>
      <c r="X131" s="636">
        <f t="shared" si="35"/>
        <v>1.0422085640876853E-4</v>
      </c>
      <c r="Y131" s="707">
        <f t="shared" si="36"/>
        <v>470.29939389464079</v>
      </c>
      <c r="Z131" s="635">
        <f t="shared" si="37"/>
        <v>2.7545000761156762</v>
      </c>
      <c r="AA131" s="707">
        <f t="shared" si="38"/>
        <v>129.03297681481584</v>
      </c>
      <c r="AB131" s="707">
        <f t="shared" si="39"/>
        <v>5588.7244641146472</v>
      </c>
    </row>
    <row r="132" spans="1:28"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42"/>
        <v>0</v>
      </c>
      <c r="I132" s="27">
        <f t="shared" si="22"/>
        <v>4.333333333333333</v>
      </c>
      <c r="J132" s="739">
        <f>IF(Weather_Site!M130&lt;180,Weather_Site!M130+180,Weather_Site!M130-180)</f>
        <v>331</v>
      </c>
      <c r="K132" s="635">
        <f t="shared" si="23"/>
        <v>6.0264800000000003</v>
      </c>
      <c r="L132" s="635">
        <f t="shared" si="24"/>
        <v>7.6304000000000016</v>
      </c>
      <c r="M132" s="635">
        <f t="shared" si="25"/>
        <v>7.8975199999999992</v>
      </c>
      <c r="N132" s="635">
        <f t="shared" si="26"/>
        <v>7.8975199999999992</v>
      </c>
      <c r="O132" s="636">
        <f t="shared" si="27"/>
        <v>0.70127386732099151</v>
      </c>
      <c r="P132" s="635">
        <f>IF($O$11,Weather_Site!H130,IF(0.191*(Weather_Site!K130+104)*(Weather_Site!J130+1)^1.5/(3.52*(Weather_Site!J130+1)^1.5+Weather_Site!I130-1)&gt;10, 10,0.191*(Weather_Site!K130+104)*(Weather_Site!J130+1)^1.5/(3.52*(Weather_Site!J130+1)^1.5+Weather_Site!I130-1)))</f>
        <v>9</v>
      </c>
      <c r="Q132" s="636">
        <f t="shared" si="28"/>
        <v>0.98420578412222115</v>
      </c>
      <c r="R132" s="636">
        <f t="shared" si="29"/>
        <v>0.69019779647107893</v>
      </c>
      <c r="S132" s="635">
        <f t="shared" si="30"/>
        <v>1</v>
      </c>
      <c r="T132" s="707">
        <f t="shared" si="31"/>
        <v>159.11117610597719</v>
      </c>
      <c r="U132" s="707">
        <f t="shared" si="32"/>
        <v>475.50084735224152</v>
      </c>
      <c r="V132" s="707">
        <f t="shared" si="33"/>
        <v>767.20017138174353</v>
      </c>
      <c r="W132" s="636">
        <f t="shared" si="34"/>
        <v>1</v>
      </c>
      <c r="X132" s="636">
        <f t="shared" si="35"/>
        <v>4.9024638379580863E-5</v>
      </c>
      <c r="Y132" s="707">
        <f t="shared" si="36"/>
        <v>475.51514780611762</v>
      </c>
      <c r="Z132" s="635">
        <f t="shared" si="37"/>
        <v>2.7765526508485547</v>
      </c>
      <c r="AA132" s="707">
        <f t="shared" si="38"/>
        <v>123.02472001607099</v>
      </c>
      <c r="AB132" s="707">
        <f t="shared" si="39"/>
        <v>5650.7050064293644</v>
      </c>
    </row>
    <row r="133" spans="1:28"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42"/>
        <v>0</v>
      </c>
      <c r="I133" s="27">
        <f t="shared" si="22"/>
        <v>3.6666666666666665</v>
      </c>
      <c r="J133" s="739">
        <f>IF(Weather_Site!M131&lt;180,Weather_Site!M131+180,Weather_Site!M131-180)</f>
        <v>331</v>
      </c>
      <c r="K133" s="635">
        <f t="shared" si="23"/>
        <v>6.3607899999999988</v>
      </c>
      <c r="L133" s="635">
        <f t="shared" si="24"/>
        <v>8.1113999999999997</v>
      </c>
      <c r="M133" s="635">
        <f t="shared" si="25"/>
        <v>8.4553100000000008</v>
      </c>
      <c r="N133" s="635">
        <f t="shared" si="26"/>
        <v>8.4553100000000008</v>
      </c>
      <c r="O133" s="636">
        <f t="shared" si="27"/>
        <v>0.65027583416357315</v>
      </c>
      <c r="P133" s="635">
        <f>IF($O$11,Weather_Site!H131,IF(0.191*(Weather_Site!K131+104)*(Weather_Site!J131+1)^1.5/(3.52*(Weather_Site!J131+1)^1.5+Weather_Site!I131-1)&gt;10, 10,0.191*(Weather_Site!K131+104)*(Weather_Site!J131+1)^1.5/(3.52*(Weather_Site!J131+1)^1.5+Weather_Site!I131-1)))</f>
        <v>9</v>
      </c>
      <c r="Q133" s="636">
        <f t="shared" si="28"/>
        <v>0.98420578412222115</v>
      </c>
      <c r="R133" s="636">
        <f t="shared" si="29"/>
        <v>0.64000523725869096</v>
      </c>
      <c r="S133" s="635">
        <f t="shared" si="30"/>
        <v>1</v>
      </c>
      <c r="T133" s="707">
        <f t="shared" si="31"/>
        <v>123.57520610200673</v>
      </c>
      <c r="U133" s="707">
        <f t="shared" si="32"/>
        <v>384.11113251742535</v>
      </c>
      <c r="V133" s="707">
        <f t="shared" si="33"/>
        <v>583.02944929812452</v>
      </c>
      <c r="W133" s="636">
        <f t="shared" si="34"/>
        <v>1</v>
      </c>
      <c r="X133" s="636">
        <f t="shared" si="35"/>
        <v>7.0520633574844992E-6</v>
      </c>
      <c r="Y133" s="707">
        <f t="shared" si="36"/>
        <v>384.11253530199826</v>
      </c>
      <c r="Z133" s="635">
        <f t="shared" si="37"/>
        <v>2.3794663367441724</v>
      </c>
      <c r="AA133" s="707">
        <f t="shared" si="38"/>
        <v>112.16929543920052</v>
      </c>
      <c r="AB133" s="707">
        <f t="shared" si="39"/>
        <v>4564.5372945054132</v>
      </c>
    </row>
    <row r="134" spans="1:28"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42"/>
        <v>0</v>
      </c>
      <c r="I134" s="27">
        <f t="shared" si="22"/>
        <v>3.3333333333333335</v>
      </c>
      <c r="J134" s="739">
        <f>IF(Weather_Site!M132&lt;180,Weather_Site!M132+180,Weather_Site!M132-180)</f>
        <v>329</v>
      </c>
      <c r="K134" s="635">
        <f t="shared" si="23"/>
        <v>6.6113499999999998</v>
      </c>
      <c r="L134" s="635">
        <f t="shared" si="24"/>
        <v>8.4685000000000006</v>
      </c>
      <c r="M134" s="635">
        <f t="shared" si="25"/>
        <v>8.8701500000000006</v>
      </c>
      <c r="N134" s="635">
        <f t="shared" si="26"/>
        <v>8.8701500000000006</v>
      </c>
      <c r="O134" s="636">
        <f t="shared" si="27"/>
        <v>0.61273700324488178</v>
      </c>
      <c r="P134" s="635">
        <f>IF($O$11,Weather_Site!H132,IF(0.191*(Weather_Site!K132+104)*(Weather_Site!J132+1)^1.5/(3.52*(Weather_Site!J132+1)^1.5+Weather_Site!I132-1)&gt;10, 10,0.191*(Weather_Site!K132+104)*(Weather_Site!J132+1)^1.5/(3.52*(Weather_Site!J132+1)^1.5+Weather_Site!I132-1)))</f>
        <v>9</v>
      </c>
      <c r="Q134" s="636">
        <f t="shared" si="28"/>
        <v>0.98420578412222115</v>
      </c>
      <c r="R134" s="636">
        <f t="shared" si="29"/>
        <v>0.60305930273932884</v>
      </c>
      <c r="S134" s="635">
        <f t="shared" si="30"/>
        <v>1</v>
      </c>
      <c r="T134" s="707">
        <f t="shared" si="31"/>
        <v>104.99910856959522</v>
      </c>
      <c r="U134" s="707">
        <f t="shared" si="32"/>
        <v>334.54601528099613</v>
      </c>
      <c r="V134" s="707">
        <f t="shared" si="33"/>
        <v>490.40705266667243</v>
      </c>
      <c r="W134" s="636">
        <f t="shared" si="34"/>
        <v>1</v>
      </c>
      <c r="X134" s="636">
        <f t="shared" si="35"/>
        <v>1.9451954860800958E-6</v>
      </c>
      <c r="Y134" s="707">
        <f t="shared" si="36"/>
        <v>334.54631846118247</v>
      </c>
      <c r="Z134" s="635">
        <f t="shared" si="37"/>
        <v>2.1532673543621188</v>
      </c>
      <c r="AA134" s="707">
        <f t="shared" si="38"/>
        <v>104.41520551222924</v>
      </c>
      <c r="AB134" s="707">
        <f t="shared" si="39"/>
        <v>3975.5254177137185</v>
      </c>
    </row>
    <row r="135" spans="1:28"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42"/>
        <v>0</v>
      </c>
      <c r="I135" s="27">
        <f t="shared" si="22"/>
        <v>3.6666666666666665</v>
      </c>
      <c r="J135" s="739">
        <f>IF(Weather_Site!M133&lt;180,Weather_Site!M133+180,Weather_Site!M133-180)</f>
        <v>325</v>
      </c>
      <c r="K135" s="635">
        <f t="shared" si="23"/>
        <v>6.6864399999999993</v>
      </c>
      <c r="L135" s="635">
        <f t="shared" si="24"/>
        <v>8.5845000000000002</v>
      </c>
      <c r="M135" s="635">
        <f t="shared" si="25"/>
        <v>9.0029600000000016</v>
      </c>
      <c r="N135" s="635">
        <f t="shared" si="26"/>
        <v>9.0029600000000016</v>
      </c>
      <c r="O135" s="636">
        <f t="shared" si="27"/>
        <v>0.60084282439116743</v>
      </c>
      <c r="P135" s="635">
        <f>IF($O$11,Weather_Site!H133,IF(0.191*(Weather_Site!K133+104)*(Weather_Site!J133+1)^1.5/(3.52*(Weather_Site!J133+1)^1.5+Weather_Site!I133-1)&gt;10, 10,0.191*(Weather_Site!K133+104)*(Weather_Site!J133+1)^1.5/(3.52*(Weather_Site!J133+1)^1.5+Weather_Site!I133-1)))</f>
        <v>9</v>
      </c>
      <c r="Q135" s="636">
        <f t="shared" si="28"/>
        <v>0.98420578412222115</v>
      </c>
      <c r="R135" s="636">
        <f t="shared" si="29"/>
        <v>0.59135298311411899</v>
      </c>
      <c r="S135" s="635">
        <f t="shared" si="30"/>
        <v>1</v>
      </c>
      <c r="T135" s="707">
        <f t="shared" si="31"/>
        <v>114.18120120449282</v>
      </c>
      <c r="U135" s="707">
        <f t="shared" si="32"/>
        <v>354.91157077783367</v>
      </c>
      <c r="V135" s="707">
        <f t="shared" si="33"/>
        <v>538.7084105164422</v>
      </c>
      <c r="W135" s="636">
        <f t="shared" si="34"/>
        <v>1</v>
      </c>
      <c r="X135" s="636">
        <f t="shared" si="35"/>
        <v>1.907653412185861E-6</v>
      </c>
      <c r="Y135" s="707">
        <f t="shared" si="36"/>
        <v>354.9119213985021</v>
      </c>
      <c r="Z135" s="635">
        <f t="shared" si="37"/>
        <v>2.2472597247136243</v>
      </c>
      <c r="AA135" s="707">
        <f t="shared" si="38"/>
        <v>103.64207493239752</v>
      </c>
      <c r="AB135" s="707">
        <f t="shared" si="39"/>
        <v>4217.5366659521997</v>
      </c>
    </row>
    <row r="136" spans="1:28"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42"/>
        <v>0</v>
      </c>
      <c r="I136" s="27">
        <f t="shared" si="22"/>
        <v>4</v>
      </c>
      <c r="J136" s="739">
        <f>IF(Weather_Site!M134&lt;180,Weather_Site!M134+180,Weather_Site!M134-180)</f>
        <v>322</v>
      </c>
      <c r="K136" s="635">
        <f t="shared" si="23"/>
        <v>7.0467299999999993</v>
      </c>
      <c r="L136" s="635">
        <f t="shared" si="24"/>
        <v>9.0891999999999999</v>
      </c>
      <c r="M136" s="635">
        <f t="shared" si="25"/>
        <v>9.5911699999999982</v>
      </c>
      <c r="N136" s="635">
        <f t="shared" si="26"/>
        <v>9.0891999999999999</v>
      </c>
      <c r="O136" s="636">
        <f t="shared" si="27"/>
        <v>0.59315899034093722</v>
      </c>
      <c r="P136" s="635">
        <f>IF($O$11,Weather_Site!H134,IF(0.191*(Weather_Site!K134+104)*(Weather_Site!J134+1)^1.5/(3.52*(Weather_Site!J134+1)^1.5+Weather_Site!I134-1)&gt;10, 10,0.191*(Weather_Site!K134+104)*(Weather_Site!J134+1)^1.5/(3.52*(Weather_Site!J134+1)^1.5+Weather_Site!I134-1)))</f>
        <v>9</v>
      </c>
      <c r="Q136" s="636">
        <f t="shared" si="28"/>
        <v>0.98420578412222115</v>
      </c>
      <c r="R136" s="636">
        <f t="shared" si="29"/>
        <v>0.58379050919764708</v>
      </c>
      <c r="S136" s="635">
        <f t="shared" si="30"/>
        <v>1</v>
      </c>
      <c r="T136" s="707">
        <f t="shared" si="31"/>
        <v>123.69592356713389</v>
      </c>
      <c r="U136" s="707">
        <f t="shared" si="32"/>
        <v>376.47143857018364</v>
      </c>
      <c r="V136" s="707">
        <f t="shared" si="33"/>
        <v>589.90319870093106</v>
      </c>
      <c r="W136" s="636">
        <f t="shared" si="34"/>
        <v>1</v>
      </c>
      <c r="X136" s="636">
        <f t="shared" si="35"/>
        <v>2.091213117580802E-6</v>
      </c>
      <c r="Y136" s="707">
        <f t="shared" si="36"/>
        <v>376.47188490148017</v>
      </c>
      <c r="Z136" s="635">
        <f t="shared" si="37"/>
        <v>2.3451504863365966</v>
      </c>
      <c r="AA136" s="707">
        <f t="shared" si="38"/>
        <v>103.29013523416378</v>
      </c>
      <c r="AB136" s="707">
        <f t="shared" si="39"/>
        <v>4473.7408989125897</v>
      </c>
    </row>
    <row r="137" spans="1:28"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42"/>
        <v>0</v>
      </c>
      <c r="I137" s="27">
        <f t="shared" si="22"/>
        <v>4.666666666666667</v>
      </c>
      <c r="J137" s="739">
        <f>IF(Weather_Site!M135&lt;180,Weather_Site!M135+180,Weather_Site!M135-180)</f>
        <v>321</v>
      </c>
      <c r="K137" s="635">
        <f t="shared" si="23"/>
        <v>6.8401599999999991</v>
      </c>
      <c r="L137" s="635">
        <f t="shared" si="24"/>
        <v>8.7861999999999991</v>
      </c>
      <c r="M137" s="635">
        <f t="shared" si="25"/>
        <v>9.2410399999999999</v>
      </c>
      <c r="N137" s="635">
        <f t="shared" si="26"/>
        <v>8.7861999999999991</v>
      </c>
      <c r="O137" s="636">
        <f t="shared" si="27"/>
        <v>0.62029018168121619</v>
      </c>
      <c r="P137" s="635">
        <f>IF($O$11,Weather_Site!H135,IF(0.191*(Weather_Site!K135+104)*(Weather_Site!J135+1)^1.5/(3.52*(Weather_Site!J135+1)^1.5+Weather_Site!I135-1)&gt;10, 10,0.191*(Weather_Site!K135+104)*(Weather_Site!J135+1)^1.5/(3.52*(Weather_Site!J135+1)^1.5+Weather_Site!I135-1)))</f>
        <v>9</v>
      </c>
      <c r="Q137" s="636">
        <f t="shared" si="28"/>
        <v>0.98420578412222115</v>
      </c>
      <c r="R137" s="636">
        <f t="shared" si="29"/>
        <v>0.61049318464487645</v>
      </c>
      <c r="S137" s="635">
        <f t="shared" si="30"/>
        <v>1</v>
      </c>
      <c r="T137" s="707">
        <f t="shared" si="31"/>
        <v>152.03622412832092</v>
      </c>
      <c r="U137" s="707">
        <f t="shared" si="32"/>
        <v>447.12928786770664</v>
      </c>
      <c r="V137" s="707">
        <f t="shared" si="33"/>
        <v>741.23669732970848</v>
      </c>
      <c r="W137" s="636">
        <f t="shared" si="34"/>
        <v>1</v>
      </c>
      <c r="X137" s="636">
        <f t="shared" si="35"/>
        <v>7.7332589615041454E-6</v>
      </c>
      <c r="Y137" s="707">
        <f t="shared" si="36"/>
        <v>447.13156227646652</v>
      </c>
      <c r="Z137" s="635">
        <f t="shared" si="37"/>
        <v>2.6557110781633111</v>
      </c>
      <c r="AA137" s="707">
        <f t="shared" si="38"/>
        <v>109.44085624546371</v>
      </c>
      <c r="AB137" s="707">
        <f t="shared" si="39"/>
        <v>5313.4133983853444</v>
      </c>
    </row>
    <row r="138" spans="1:28"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42"/>
        <v>0</v>
      </c>
      <c r="I138" s="27">
        <f t="shared" si="22"/>
        <v>6.333333333333333</v>
      </c>
      <c r="J138" s="739">
        <f>IF(Weather_Site!M136&lt;180,Weather_Site!M136+180,Weather_Site!M136-180)</f>
        <v>318</v>
      </c>
      <c r="K138" s="635">
        <f t="shared" si="23"/>
        <v>6.2545999999999999</v>
      </c>
      <c r="L138" s="635">
        <f t="shared" si="24"/>
        <v>7.9335000000000004</v>
      </c>
      <c r="M138" s="635">
        <f t="shared" si="25"/>
        <v>8.2544000000000004</v>
      </c>
      <c r="N138" s="635">
        <f t="shared" si="26"/>
        <v>7.9335000000000004</v>
      </c>
      <c r="O138" s="636">
        <f t="shared" si="27"/>
        <v>0.69797850986065724</v>
      </c>
      <c r="P138" s="635">
        <f>IF($O$11,Weather_Site!H136,IF(0.191*(Weather_Site!K136+104)*(Weather_Site!J136+1)^1.5/(3.52*(Weather_Site!J136+1)^1.5+Weather_Site!I136-1)&gt;10, 10,0.191*(Weather_Site!K136+104)*(Weather_Site!J136+1)^1.5/(3.52*(Weather_Site!J136+1)^1.5+Weather_Site!I136-1)))</f>
        <v>9</v>
      </c>
      <c r="Q138" s="636">
        <f t="shared" si="28"/>
        <v>0.98420578412222115</v>
      </c>
      <c r="R138" s="636">
        <f t="shared" si="29"/>
        <v>0.68695448659786762</v>
      </c>
      <c r="S138" s="635">
        <f t="shared" si="30"/>
        <v>1</v>
      </c>
      <c r="T138" s="707">
        <f t="shared" si="31"/>
        <v>233.51036590518993</v>
      </c>
      <c r="U138" s="707">
        <f t="shared" si="32"/>
        <v>647.42261455019786</v>
      </c>
      <c r="V138" s="707">
        <f t="shared" si="33"/>
        <v>1200.0469571513065</v>
      </c>
      <c r="W138" s="636">
        <f t="shared" si="34"/>
        <v>1</v>
      </c>
      <c r="X138" s="636">
        <f t="shared" si="35"/>
        <v>2.6389448066500745E-4</v>
      </c>
      <c r="Y138" s="707">
        <f t="shared" si="36"/>
        <v>647.56844906409151</v>
      </c>
      <c r="Z138" s="635">
        <f t="shared" si="37"/>
        <v>3.4711679801481918</v>
      </c>
      <c r="AA138" s="707">
        <f t="shared" si="38"/>
        <v>124.83006574602733</v>
      </c>
      <c r="AB138" s="707">
        <f t="shared" si="39"/>
        <v>7695.2717363782867</v>
      </c>
    </row>
    <row r="139" spans="1:28"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42"/>
        <v>0</v>
      </c>
      <c r="I139" s="27">
        <f t="shared" si="22"/>
        <v>4</v>
      </c>
      <c r="J139" s="739">
        <f>IF(Weather_Site!M137&lt;180,Weather_Site!M137+180,Weather_Site!M137-180)</f>
        <v>316</v>
      </c>
      <c r="K139" s="635">
        <f t="shared" si="23"/>
        <v>5.7775899999999991</v>
      </c>
      <c r="L139" s="635">
        <f t="shared" si="24"/>
        <v>7.238500000000001</v>
      </c>
      <c r="M139" s="635">
        <f t="shared" si="25"/>
        <v>7.45031</v>
      </c>
      <c r="N139" s="635">
        <f t="shared" si="26"/>
        <v>7.238500000000001</v>
      </c>
      <c r="O139" s="636">
        <f t="shared" si="27"/>
        <v>0.76134931009013018</v>
      </c>
      <c r="P139" s="635">
        <f>IF($O$11,Weather_Site!H137,IF(0.191*(Weather_Site!K137+104)*(Weather_Site!J137+1)^1.5/(3.52*(Weather_Site!J137+1)^1.5+Weather_Site!I137-1)&gt;10, 10,0.191*(Weather_Site!K137+104)*(Weather_Site!J137+1)^1.5/(3.52*(Weather_Site!J137+1)^1.5+Weather_Site!I137-1)))</f>
        <v>9</v>
      </c>
      <c r="Q139" s="636">
        <f t="shared" si="28"/>
        <v>0.98420578412222115</v>
      </c>
      <c r="R139" s="636">
        <f t="shared" si="29"/>
        <v>0.7493243947281687</v>
      </c>
      <c r="S139" s="635">
        <f t="shared" si="30"/>
        <v>1</v>
      </c>
      <c r="T139" s="707">
        <f t="shared" si="31"/>
        <v>158.76992105382791</v>
      </c>
      <c r="U139" s="707">
        <f t="shared" si="32"/>
        <v>483.21997085351518</v>
      </c>
      <c r="V139" s="707">
        <f t="shared" si="33"/>
        <v>757.17033824736825</v>
      </c>
      <c r="W139" s="636">
        <f t="shared" si="34"/>
        <v>1</v>
      </c>
      <c r="X139" s="636">
        <f t="shared" si="35"/>
        <v>1.7875675561632761E-4</v>
      </c>
      <c r="Y139" s="707">
        <f t="shared" si="36"/>
        <v>483.26894133239045</v>
      </c>
      <c r="Z139" s="635">
        <f t="shared" si="37"/>
        <v>2.8092128576118758</v>
      </c>
      <c r="AA139" s="707">
        <f t="shared" si="38"/>
        <v>132.59134694150308</v>
      </c>
      <c r="AB139" s="707">
        <f t="shared" si="39"/>
        <v>5742.8459194999068</v>
      </c>
    </row>
    <row r="140" spans="1:28"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42"/>
        <v>0</v>
      </c>
      <c r="I140" s="27">
        <f t="shared" si="22"/>
        <v>5.333333333333333</v>
      </c>
      <c r="J140" s="739">
        <f>IF(Weather_Site!M138&lt;180,Weather_Site!M138+180,Weather_Site!M138-180)</f>
        <v>318</v>
      </c>
      <c r="K140" s="635">
        <f t="shared" si="23"/>
        <v>5.1337699999999993</v>
      </c>
      <c r="L140" s="635">
        <f t="shared" si="24"/>
        <v>6.3103000000000007</v>
      </c>
      <c r="M140" s="635">
        <f t="shared" si="25"/>
        <v>6.3743300000000005</v>
      </c>
      <c r="N140" s="635">
        <f t="shared" si="26"/>
        <v>6.3103000000000007</v>
      </c>
      <c r="O140" s="636">
        <f t="shared" si="27"/>
        <v>0.84305632384516871</v>
      </c>
      <c r="P140" s="635">
        <f>IF($O$11,Weather_Site!H138,IF(0.191*(Weather_Site!K138+104)*(Weather_Site!J138+1)^1.5/(3.52*(Weather_Site!J138+1)^1.5+Weather_Site!I138-1)&gt;10, 10,0.191*(Weather_Site!K138+104)*(Weather_Site!J138+1)^1.5/(3.52*(Weather_Site!J138+1)^1.5+Weather_Site!I138-1)))</f>
        <v>9</v>
      </c>
      <c r="Q140" s="636">
        <f t="shared" si="28"/>
        <v>0.98420578412222115</v>
      </c>
      <c r="R140" s="636">
        <f t="shared" si="29"/>
        <v>0.82974091026923147</v>
      </c>
      <c r="S140" s="635">
        <f t="shared" si="30"/>
        <v>1</v>
      </c>
      <c r="T140" s="707">
        <f t="shared" si="31"/>
        <v>237.05291922798804</v>
      </c>
      <c r="U140" s="707">
        <f t="shared" si="32"/>
        <v>678.5442461086526</v>
      </c>
      <c r="V140" s="707">
        <f t="shared" si="33"/>
        <v>1181.1450722312659</v>
      </c>
      <c r="W140" s="636">
        <f t="shared" si="34"/>
        <v>1</v>
      </c>
      <c r="X140" s="636">
        <f t="shared" si="35"/>
        <v>5.0272580679649303E-3</v>
      </c>
      <c r="Y140" s="707">
        <f t="shared" si="36"/>
        <v>681.07095016674339</v>
      </c>
      <c r="Z140" s="635">
        <f t="shared" si="37"/>
        <v>3.600096628310109</v>
      </c>
      <c r="AA140" s="707">
        <f t="shared" si="38"/>
        <v>150.46636403471706</v>
      </c>
      <c r="AB140" s="707">
        <f t="shared" si="39"/>
        <v>8093.3931244814667</v>
      </c>
    </row>
    <row r="141" spans="1:28"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42"/>
        <v>0</v>
      </c>
      <c r="I141" s="27">
        <f t="shared" si="22"/>
        <v>4.333333333333333</v>
      </c>
      <c r="J141" s="739">
        <f>IF(Weather_Site!M139&lt;180,Weather_Site!M139+180,Weather_Site!M139-180)</f>
        <v>316</v>
      </c>
      <c r="K141" s="635">
        <f t="shared" si="23"/>
        <v>4.7510399999999997</v>
      </c>
      <c r="L141" s="635">
        <f t="shared" si="24"/>
        <v>5.7515999999999998</v>
      </c>
      <c r="M141" s="635">
        <f t="shared" si="25"/>
        <v>5.7281599999999999</v>
      </c>
      <c r="N141" s="635">
        <f t="shared" si="26"/>
        <v>5.7515999999999998</v>
      </c>
      <c r="O141" s="636">
        <f t="shared" si="27"/>
        <v>0.888975971518703</v>
      </c>
      <c r="P141" s="635">
        <f>IF($O$11,Weather_Site!H139,IF(0.191*(Weather_Site!K139+104)*(Weather_Site!J139+1)^1.5/(3.52*(Weather_Site!J139+1)^1.5+Weather_Site!I139-1)&gt;10, 10,0.191*(Weather_Site!K139+104)*(Weather_Site!J139+1)^1.5/(3.52*(Weather_Site!J139+1)^1.5+Weather_Site!I139-1)))</f>
        <v>9</v>
      </c>
      <c r="Q141" s="636">
        <f t="shared" si="28"/>
        <v>0.98420578412222115</v>
      </c>
      <c r="R141" s="636">
        <f t="shared" si="29"/>
        <v>0.87493529311437845</v>
      </c>
      <c r="S141" s="635">
        <f t="shared" si="30"/>
        <v>1</v>
      </c>
      <c r="T141" s="707">
        <f t="shared" si="31"/>
        <v>201.69867857567115</v>
      </c>
      <c r="U141" s="707">
        <f t="shared" si="32"/>
        <v>602.77282161926109</v>
      </c>
      <c r="V141" s="707">
        <f t="shared" si="33"/>
        <v>972.54802935815258</v>
      </c>
      <c r="W141" s="636">
        <f t="shared" si="34"/>
        <v>1</v>
      </c>
      <c r="X141" s="636">
        <f t="shared" si="35"/>
        <v>6.9736814731416637E-3</v>
      </c>
      <c r="Y141" s="707">
        <f t="shared" si="36"/>
        <v>605.35151613469691</v>
      </c>
      <c r="Z141" s="635">
        <f t="shared" si="37"/>
        <v>3.3060361909926832</v>
      </c>
      <c r="AA141" s="707">
        <f t="shared" si="38"/>
        <v>156.61583259202547</v>
      </c>
      <c r="AB141" s="707">
        <f t="shared" si="39"/>
        <v>7193.5938500673146</v>
      </c>
    </row>
    <row r="142" spans="1:28"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42"/>
        <v>0</v>
      </c>
      <c r="I142" s="27">
        <f t="shared" si="22"/>
        <v>4.333333333333333</v>
      </c>
      <c r="J142" s="739">
        <f>IF(Weather_Site!M140&lt;180,Weather_Site!M140+180,Weather_Site!M140-180)</f>
        <v>321</v>
      </c>
      <c r="K142" s="635">
        <f t="shared" si="23"/>
        <v>4.3664399999999999</v>
      </c>
      <c r="L142" s="635">
        <f t="shared" si="24"/>
        <v>5.1884000000000006</v>
      </c>
      <c r="M142" s="635">
        <f t="shared" si="25"/>
        <v>5.0771600000000001</v>
      </c>
      <c r="N142" s="635">
        <f t="shared" si="26"/>
        <v>5.1884000000000006</v>
      </c>
      <c r="O142" s="636">
        <f t="shared" si="27"/>
        <v>0.93148445757109299</v>
      </c>
      <c r="P142" s="635">
        <f>IF($O$11,Weather_Site!H140,IF(0.191*(Weather_Site!K140+104)*(Weather_Site!J140+1)^1.5/(3.52*(Weather_Site!J140+1)^1.5+Weather_Site!I140-1)&gt;10, 10,0.191*(Weather_Site!K140+104)*(Weather_Site!J140+1)^1.5/(3.52*(Weather_Site!J140+1)^1.5+Weather_Site!I140-1)))</f>
        <v>9</v>
      </c>
      <c r="Q142" s="636">
        <f t="shared" si="28"/>
        <v>0.98420578412222115</v>
      </c>
      <c r="R142" s="636">
        <f t="shared" si="29"/>
        <v>0.91677239096141938</v>
      </c>
      <c r="S142" s="635">
        <f t="shared" si="30"/>
        <v>1</v>
      </c>
      <c r="T142" s="707">
        <f t="shared" si="31"/>
        <v>211.34337735236809</v>
      </c>
      <c r="U142" s="707">
        <f t="shared" si="32"/>
        <v>631.59582797880137</v>
      </c>
      <c r="V142" s="707">
        <f t="shared" si="33"/>
        <v>1019.0527107733584</v>
      </c>
      <c r="W142" s="636">
        <f t="shared" si="34"/>
        <v>1</v>
      </c>
      <c r="X142" s="636">
        <f t="shared" si="35"/>
        <v>2.1158897336123882E-2</v>
      </c>
      <c r="Y142" s="707">
        <f t="shared" si="36"/>
        <v>639.79398838402597</v>
      </c>
      <c r="Z142" s="635">
        <f t="shared" si="37"/>
        <v>3.440987665429823</v>
      </c>
      <c r="AA142" s="707">
        <f t="shared" si="38"/>
        <v>165.52674852116991</v>
      </c>
      <c r="AB142" s="707">
        <f t="shared" si="39"/>
        <v>7602.8852286301744</v>
      </c>
    </row>
    <row r="143" spans="1:28"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42"/>
        <v>0</v>
      </c>
      <c r="I143" s="27">
        <f t="shared" ref="I143:I179" si="43">G143/$O$10</f>
        <v>4.333333333333333</v>
      </c>
      <c r="J143" s="739">
        <f>IF(Weather_Site!M141&lt;180,Weather_Site!M141+180,Weather_Site!M141-180)</f>
        <v>325</v>
      </c>
      <c r="K143" s="635">
        <f t="shared" ref="K143:K179" si="44">2.76+0.124*E143-0.0187*D143</f>
        <v>4.04758</v>
      </c>
      <c r="L143" s="635">
        <f t="shared" ref="L143:L179" si="45">3.6+0.169*E143-0.045*D143</f>
        <v>4.7187000000000001</v>
      </c>
      <c r="M143" s="635">
        <f t="shared" ref="M143:M179" si="46">3.08+0.198*E143-0.0483*D143</f>
        <v>4.5348200000000007</v>
      </c>
      <c r="N143" s="635">
        <f t="shared" ref="N143:N179" si="47">IF(AND(OR(MONTH(B143)&gt;10,MONTH(B143)&lt;3),AND(HOUR(C143)&gt;=13,HOUR(C143)&lt;=17)),K143,IF(OR(HOUR(C143)&lt;6,HOUR(C143)&gt;=20),M143,L143))</f>
        <v>4.04758</v>
      </c>
      <c r="O143" s="636">
        <f t="shared" ref="O143:O179" si="48">IF(N143&lt;=4.1,1,IF(N143&gt;=24,0,(0.9082+0.1206*N143-0.03106*N143^2+0.001853*N143^3-0.00003467*N143^4)))</f>
        <v>1</v>
      </c>
      <c r="P143" s="635">
        <f>IF($O$11,Weather_Site!H141,IF(0.191*(Weather_Site!K141+104)*(Weather_Site!J141+1)^1.5/(3.52*(Weather_Site!J141+1)^1.5+Weather_Site!I141-1)&gt;10, 10,0.191*(Weather_Site!K141+104)*(Weather_Site!J141+1)^1.5/(3.52*(Weather_Site!J141+1)^1.5+Weather_Site!I141-1)))</f>
        <v>9.1</v>
      </c>
      <c r="Q143" s="636">
        <f t="shared" ref="Q143:Q179" si="49">1.008/(1+104.9*EXP(-0.9306*P143))</f>
        <v>0.98627459474380041</v>
      </c>
      <c r="R143" s="636">
        <f t="shared" ref="R143:R179" si="50">O143*Q143</f>
        <v>0.98627459474380041</v>
      </c>
      <c r="S143" s="635">
        <f t="shared" ref="S143:S179" si="51">MIN(IF(H143&gt;0,2^(H143/10),(2^(-H143/10))/(2*(2^(-H143/10))-1)),4)</f>
        <v>1</v>
      </c>
      <c r="T143" s="707">
        <f t="shared" ref="T143:T179" si="52">IF(I143&gt;2,(0.03+0.05024*(I143-1)^0.92628*(($E$6+$E$7)/10)^0.79928)*1000*R143*S143,0.03*R143*S143)</f>
        <v>227.36570811365635</v>
      </c>
      <c r="U143" s="707">
        <f t="shared" ref="U143:U179" si="53">(0.19591*(I143)^0.82569*(($E$6+$E$7)/10)^0.46722)*$C$10^0.495*1000*R143*S143</f>
        <v>679.47827118615987</v>
      </c>
      <c r="V143" s="707">
        <f t="shared" ref="V143:V179" si="54">(0.05235*(G143)^1.19128)*1000*R143*S143</f>
        <v>1096.3089740154071</v>
      </c>
      <c r="W143" s="636">
        <f t="shared" ref="W143:W179" si="55">IF((E$6+E$7)&lt;1,0,1/(1+EXP(-(-23.9315+1.7033*I143+12.0822*R143+9.5236*($E$6+$E$7)))))</f>
        <v>1</v>
      </c>
      <c r="X143" s="636">
        <f t="shared" ref="X143:X179" si="56">IF(U143&lt;300,0,1/(1+EXP(-(-32.3074+0.2951*G143+26.8734*R143))))</f>
        <v>0.12276011628108578</v>
      </c>
      <c r="Y143" s="707">
        <f t="shared" ref="Y143:Y179" si="57">IF(W143&lt;0.5,(T143*(1-W143)+U143*W143),(T143*(1-W143)+U143*W143*(1-X143)+V143*X143))</f>
        <v>730.64845673500508</v>
      </c>
      <c r="Z143" s="635">
        <f t="shared" ref="Z143:Z179" si="58">0.0193*Y143^0.723*EXP(0.64*$C$10)</f>
        <v>3.7877151279829997</v>
      </c>
      <c r="AA143" s="707">
        <f t="shared" ref="AA143:AA179" si="59">(1/(0.2204*G143+1))*Y143</f>
        <v>189.03250976275615</v>
      </c>
      <c r="AB143" s="707">
        <f t="shared" ref="AB143:AB179" si="60">18600*Y143/3600*$F$11/10</f>
        <v>8682.5391608676437</v>
      </c>
    </row>
    <row r="144" spans="1:28"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42"/>
        <v>0</v>
      </c>
      <c r="I144" s="27">
        <f t="shared" si="43"/>
        <v>4.333333333333333</v>
      </c>
      <c r="J144" s="739">
        <f>IF(Weather_Site!M142&lt;180,Weather_Site!M142+180,Weather_Site!M142-180)</f>
        <v>330</v>
      </c>
      <c r="K144" s="635">
        <f t="shared" si="44"/>
        <v>3.7801899999999997</v>
      </c>
      <c r="L144" s="635">
        <f t="shared" si="45"/>
        <v>4.3211000000000004</v>
      </c>
      <c r="M144" s="635">
        <f t="shared" si="46"/>
        <v>4.0765099999999999</v>
      </c>
      <c r="N144" s="635">
        <f t="shared" si="47"/>
        <v>3.7801899999999997</v>
      </c>
      <c r="O144" s="636">
        <f t="shared" si="48"/>
        <v>1</v>
      </c>
      <c r="P144" s="635">
        <f>IF($O$11,Weather_Site!H142,IF(0.191*(Weather_Site!K142+104)*(Weather_Site!J142+1)^1.5/(3.52*(Weather_Site!J142+1)^1.5+Weather_Site!I142-1)&gt;10, 10,0.191*(Weather_Site!K142+104)*(Weather_Site!J142+1)^1.5/(3.52*(Weather_Site!J142+1)^1.5+Weather_Site!I142-1)))</f>
        <v>9.1</v>
      </c>
      <c r="Q144" s="636">
        <f t="shared" si="49"/>
        <v>0.98627459474380041</v>
      </c>
      <c r="R144" s="636">
        <f t="shared" si="50"/>
        <v>0.98627459474380041</v>
      </c>
      <c r="S144" s="635">
        <f t="shared" si="51"/>
        <v>1</v>
      </c>
      <c r="T144" s="707">
        <f t="shared" si="52"/>
        <v>227.36570811365635</v>
      </c>
      <c r="U144" s="707">
        <f t="shared" si="53"/>
        <v>679.47827118615987</v>
      </c>
      <c r="V144" s="707">
        <f t="shared" si="54"/>
        <v>1096.3089740154071</v>
      </c>
      <c r="W144" s="636">
        <f t="shared" si="55"/>
        <v>1</v>
      </c>
      <c r="X144" s="636">
        <f t="shared" si="56"/>
        <v>0.12276011628108578</v>
      </c>
      <c r="Y144" s="707">
        <f t="shared" si="57"/>
        <v>730.64845673500508</v>
      </c>
      <c r="Z144" s="635">
        <f t="shared" si="58"/>
        <v>3.7877151279829997</v>
      </c>
      <c r="AA144" s="707">
        <f t="shared" si="59"/>
        <v>189.03250976275615</v>
      </c>
      <c r="AB144" s="707">
        <f t="shared" si="60"/>
        <v>8682.5391608676437</v>
      </c>
    </row>
    <row r="145" spans="1:28"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42"/>
        <v>0</v>
      </c>
      <c r="I145" s="27">
        <f t="shared" si="43"/>
        <v>3.6666666666666665</v>
      </c>
      <c r="J145" s="739">
        <f>IF(Weather_Site!M143&lt;180,Weather_Site!M143+180,Weather_Site!M143-180)</f>
        <v>334</v>
      </c>
      <c r="K145" s="635">
        <f t="shared" si="44"/>
        <v>3.59842</v>
      </c>
      <c r="L145" s="635">
        <f t="shared" si="45"/>
        <v>4.0518999999999998</v>
      </c>
      <c r="M145" s="635">
        <f t="shared" si="46"/>
        <v>3.7659799999999994</v>
      </c>
      <c r="N145" s="635">
        <f t="shared" si="47"/>
        <v>3.59842</v>
      </c>
      <c r="O145" s="636">
        <f t="shared" si="48"/>
        <v>1</v>
      </c>
      <c r="P145" s="635">
        <f>IF($O$11,Weather_Site!H143,IF(0.191*(Weather_Site!K143+104)*(Weather_Site!J143+1)^1.5/(3.52*(Weather_Site!J143+1)^1.5+Weather_Site!I143-1)&gt;10, 10,0.191*(Weather_Site!K143+104)*(Weather_Site!J143+1)^1.5/(3.52*(Weather_Site!J143+1)^1.5+Weather_Site!I143-1)))</f>
        <v>9.1</v>
      </c>
      <c r="Q145" s="636">
        <f t="shared" si="49"/>
        <v>0.98627459474380041</v>
      </c>
      <c r="R145" s="636">
        <f t="shared" si="50"/>
        <v>0.98627459474380041</v>
      </c>
      <c r="S145" s="635">
        <f t="shared" si="51"/>
        <v>1</v>
      </c>
      <c r="T145" s="707">
        <f t="shared" si="52"/>
        <v>190.43451400597618</v>
      </c>
      <c r="U145" s="707">
        <f t="shared" si="53"/>
        <v>591.93117416174925</v>
      </c>
      <c r="V145" s="707">
        <f t="shared" si="54"/>
        <v>898.47254421416892</v>
      </c>
      <c r="W145" s="636">
        <f t="shared" si="55"/>
        <v>1</v>
      </c>
      <c r="X145" s="636">
        <f t="shared" si="56"/>
        <v>7.1974434249677616E-2</v>
      </c>
      <c r="Y145" s="707">
        <f t="shared" si="57"/>
        <v>613.9943158453932</v>
      </c>
      <c r="Z145" s="635">
        <f t="shared" si="58"/>
        <v>3.3400956914642275</v>
      </c>
      <c r="AA145" s="707">
        <f t="shared" si="59"/>
        <v>179.29982357358753</v>
      </c>
      <c r="AB145" s="707">
        <f t="shared" si="60"/>
        <v>7296.2991199627559</v>
      </c>
    </row>
    <row r="146" spans="1:28"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42"/>
        <v>0</v>
      </c>
      <c r="I146" s="27">
        <f t="shared" si="43"/>
        <v>4</v>
      </c>
      <c r="J146" s="739">
        <f>IF(Weather_Site!M144&lt;180,Weather_Site!M144+180,Weather_Site!M144-180)</f>
        <v>339</v>
      </c>
      <c r="K146" s="635">
        <f t="shared" si="44"/>
        <v>3.4985299999999997</v>
      </c>
      <c r="L146" s="635">
        <f t="shared" si="45"/>
        <v>3.9020999999999999</v>
      </c>
      <c r="M146" s="635">
        <f t="shared" si="46"/>
        <v>3.5935699999999997</v>
      </c>
      <c r="N146" s="635">
        <f t="shared" si="47"/>
        <v>3.4985299999999997</v>
      </c>
      <c r="O146" s="636">
        <f t="shared" si="48"/>
        <v>1</v>
      </c>
      <c r="P146" s="635">
        <f>IF($O$11,Weather_Site!H144,IF(0.191*(Weather_Site!K144+104)*(Weather_Site!J144+1)^1.5/(3.52*(Weather_Site!J144+1)^1.5+Weather_Site!I144-1)&gt;10, 10,0.191*(Weather_Site!K144+104)*(Weather_Site!J144+1)^1.5/(3.52*(Weather_Site!J144+1)^1.5+Weather_Site!I144-1)))</f>
        <v>9.1</v>
      </c>
      <c r="Q146" s="636">
        <f t="shared" si="49"/>
        <v>0.98627459474380041</v>
      </c>
      <c r="R146" s="636">
        <f t="shared" si="50"/>
        <v>0.98627459474380041</v>
      </c>
      <c r="S146" s="635">
        <f t="shared" si="51"/>
        <v>1</v>
      </c>
      <c r="T146" s="707">
        <f t="shared" si="52"/>
        <v>208.97589968584367</v>
      </c>
      <c r="U146" s="707">
        <f t="shared" si="53"/>
        <v>636.02304192772567</v>
      </c>
      <c r="V146" s="707">
        <f t="shared" si="54"/>
        <v>996.60157037574754</v>
      </c>
      <c r="W146" s="636">
        <f t="shared" si="55"/>
        <v>1</v>
      </c>
      <c r="X146" s="636">
        <f t="shared" si="56"/>
        <v>9.4349430961125524E-2</v>
      </c>
      <c r="Y146" s="707">
        <f t="shared" si="57"/>
        <v>670.0434209035966</v>
      </c>
      <c r="Z146" s="635">
        <f t="shared" si="58"/>
        <v>3.5578572128985275</v>
      </c>
      <c r="AA146" s="707">
        <f t="shared" si="59"/>
        <v>183.83544252183839</v>
      </c>
      <c r="AB146" s="707">
        <f t="shared" si="60"/>
        <v>7962.3493184044073</v>
      </c>
    </row>
    <row r="147" spans="1:28"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42"/>
        <v>0</v>
      </c>
      <c r="I147" s="27">
        <f t="shared" si="43"/>
        <v>3.6666666666666665</v>
      </c>
      <c r="J147" s="739">
        <f>IF(Weather_Site!M145&lt;180,Weather_Site!M145+180,Weather_Site!M145-180)</f>
        <v>344</v>
      </c>
      <c r="K147" s="635">
        <f t="shared" si="44"/>
        <v>3.4147799999999995</v>
      </c>
      <c r="L147" s="635">
        <f t="shared" si="45"/>
        <v>3.7782</v>
      </c>
      <c r="M147" s="635">
        <f t="shared" si="46"/>
        <v>3.4506200000000007</v>
      </c>
      <c r="N147" s="635">
        <f t="shared" si="47"/>
        <v>3.4147799999999995</v>
      </c>
      <c r="O147" s="636">
        <f t="shared" si="48"/>
        <v>1</v>
      </c>
      <c r="P147" s="635">
        <f>IF($O$11,Weather_Site!H145,IF(0.191*(Weather_Site!K145+104)*(Weather_Site!J145+1)^1.5/(3.52*(Weather_Site!J145+1)^1.5+Weather_Site!I145-1)&gt;10, 10,0.191*(Weather_Site!K145+104)*(Weather_Site!J145+1)^1.5/(3.52*(Weather_Site!J145+1)^1.5+Weather_Site!I145-1)))</f>
        <v>9.1</v>
      </c>
      <c r="Q147" s="636">
        <f t="shared" si="49"/>
        <v>0.98627459474380041</v>
      </c>
      <c r="R147" s="636">
        <f t="shared" si="50"/>
        <v>0.98627459474380041</v>
      </c>
      <c r="S147" s="635">
        <f t="shared" si="51"/>
        <v>1</v>
      </c>
      <c r="T147" s="707">
        <f t="shared" si="52"/>
        <v>190.43451400597618</v>
      </c>
      <c r="U147" s="707">
        <f t="shared" si="53"/>
        <v>591.93117416174925</v>
      </c>
      <c r="V147" s="707">
        <f t="shared" si="54"/>
        <v>898.47254421416892</v>
      </c>
      <c r="W147" s="636">
        <f t="shared" si="55"/>
        <v>1</v>
      </c>
      <c r="X147" s="636">
        <f t="shared" si="56"/>
        <v>7.1974434249677616E-2</v>
      </c>
      <c r="Y147" s="707">
        <f t="shared" si="57"/>
        <v>613.9943158453932</v>
      </c>
      <c r="Z147" s="635">
        <f t="shared" si="58"/>
        <v>3.3400956914642275</v>
      </c>
      <c r="AA147" s="707">
        <f t="shared" si="59"/>
        <v>179.29982357358753</v>
      </c>
      <c r="AB147" s="707">
        <f t="shared" si="60"/>
        <v>7296.2991199627559</v>
      </c>
    </row>
    <row r="148" spans="1:28"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42"/>
        <v>0</v>
      </c>
      <c r="I148" s="27">
        <f t="shared" si="43"/>
        <v>4</v>
      </c>
      <c r="J148" s="739">
        <f>IF(Weather_Site!M146&lt;180,Weather_Site!M146+180,Weather_Site!M146-180)</f>
        <v>337</v>
      </c>
      <c r="K148" s="635">
        <f t="shared" si="44"/>
        <v>3.488</v>
      </c>
      <c r="L148" s="635">
        <f t="shared" si="45"/>
        <v>3.8897000000000004</v>
      </c>
      <c r="M148" s="635">
        <f t="shared" si="46"/>
        <v>3.5785999999999998</v>
      </c>
      <c r="N148" s="635">
        <f t="shared" si="47"/>
        <v>3.8897000000000004</v>
      </c>
      <c r="O148" s="636">
        <f t="shared" si="48"/>
        <v>1</v>
      </c>
      <c r="P148" s="635">
        <f>IF($O$11,Weather_Site!H146,IF(0.191*(Weather_Site!K146+104)*(Weather_Site!J146+1)^1.5/(3.52*(Weather_Site!J146+1)^1.5+Weather_Site!I146-1)&gt;10, 10,0.191*(Weather_Site!K146+104)*(Weather_Site!J146+1)^1.5/(3.52*(Weather_Site!J146+1)^1.5+Weather_Site!I146-1)))</f>
        <v>9.1</v>
      </c>
      <c r="Q148" s="636">
        <f t="shared" si="49"/>
        <v>0.98627459474380041</v>
      </c>
      <c r="R148" s="636">
        <f t="shared" si="50"/>
        <v>0.98627459474380041</v>
      </c>
      <c r="S148" s="635">
        <f t="shared" si="51"/>
        <v>1</v>
      </c>
      <c r="T148" s="707">
        <f t="shared" si="52"/>
        <v>208.97589968584367</v>
      </c>
      <c r="U148" s="707">
        <f t="shared" si="53"/>
        <v>636.02304192772567</v>
      </c>
      <c r="V148" s="707">
        <f t="shared" si="54"/>
        <v>996.60157037574754</v>
      </c>
      <c r="W148" s="636">
        <f t="shared" si="55"/>
        <v>1</v>
      </c>
      <c r="X148" s="636">
        <f t="shared" si="56"/>
        <v>9.4349430961125524E-2</v>
      </c>
      <c r="Y148" s="707">
        <f t="shared" si="57"/>
        <v>670.0434209035966</v>
      </c>
      <c r="Z148" s="635">
        <f t="shared" si="58"/>
        <v>3.5578572128985275</v>
      </c>
      <c r="AA148" s="707">
        <f t="shared" si="59"/>
        <v>183.83544252183839</v>
      </c>
      <c r="AB148" s="707">
        <f t="shared" si="60"/>
        <v>7962.3493184044073</v>
      </c>
    </row>
    <row r="149" spans="1:28"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42"/>
        <v>0</v>
      </c>
      <c r="I149" s="27">
        <f t="shared" si="43"/>
        <v>3.6666666666666665</v>
      </c>
      <c r="J149" s="739">
        <f>IF(Weather_Site!M147&lt;180,Weather_Site!M147+180,Weather_Site!M147-180)</f>
        <v>334</v>
      </c>
      <c r="K149" s="635">
        <f t="shared" si="44"/>
        <v>3.5221499999999999</v>
      </c>
      <c r="L149" s="635">
        <f t="shared" si="45"/>
        <v>3.9459999999999997</v>
      </c>
      <c r="M149" s="635">
        <f t="shared" si="46"/>
        <v>3.6423500000000004</v>
      </c>
      <c r="N149" s="635">
        <f t="shared" si="47"/>
        <v>3.9459999999999997</v>
      </c>
      <c r="O149" s="636">
        <f t="shared" si="48"/>
        <v>1</v>
      </c>
      <c r="P149" s="635">
        <f>IF($O$11,Weather_Site!H147,IF(0.191*(Weather_Site!K147+104)*(Weather_Site!J147+1)^1.5/(3.52*(Weather_Site!J147+1)^1.5+Weather_Site!I147-1)&gt;10, 10,0.191*(Weather_Site!K147+104)*(Weather_Site!J147+1)^1.5/(3.52*(Weather_Site!J147+1)^1.5+Weather_Site!I147-1)))</f>
        <v>9.1</v>
      </c>
      <c r="Q149" s="636">
        <f t="shared" si="49"/>
        <v>0.98627459474380041</v>
      </c>
      <c r="R149" s="636">
        <f t="shared" si="50"/>
        <v>0.98627459474380041</v>
      </c>
      <c r="S149" s="635">
        <f t="shared" si="51"/>
        <v>1</v>
      </c>
      <c r="T149" s="707">
        <f t="shared" si="52"/>
        <v>190.43451400597618</v>
      </c>
      <c r="U149" s="707">
        <f t="shared" si="53"/>
        <v>591.93117416174925</v>
      </c>
      <c r="V149" s="707">
        <f t="shared" si="54"/>
        <v>898.47254421416892</v>
      </c>
      <c r="W149" s="636">
        <f t="shared" si="55"/>
        <v>1</v>
      </c>
      <c r="X149" s="636">
        <f t="shared" si="56"/>
        <v>7.1974434249677616E-2</v>
      </c>
      <c r="Y149" s="707">
        <f t="shared" si="57"/>
        <v>613.9943158453932</v>
      </c>
      <c r="Z149" s="635">
        <f t="shared" si="58"/>
        <v>3.3400956914642275</v>
      </c>
      <c r="AA149" s="707">
        <f t="shared" si="59"/>
        <v>179.29982357358753</v>
      </c>
      <c r="AB149" s="707">
        <f t="shared" si="60"/>
        <v>7296.2991199627559</v>
      </c>
    </row>
    <row r="150" spans="1:28"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42"/>
        <v>0</v>
      </c>
      <c r="I150" s="27">
        <f t="shared" si="43"/>
        <v>3</v>
      </c>
      <c r="J150" s="739">
        <f>IF(Weather_Site!M148&lt;180,Weather_Site!M148+180,Weather_Site!M148-180)</f>
        <v>332</v>
      </c>
      <c r="K150" s="635">
        <f t="shared" si="44"/>
        <v>3.6865999999999999</v>
      </c>
      <c r="L150" s="635">
        <f t="shared" si="45"/>
        <v>4.1993999999999998</v>
      </c>
      <c r="M150" s="635">
        <f t="shared" si="46"/>
        <v>3.9325999999999999</v>
      </c>
      <c r="N150" s="635">
        <f t="shared" si="47"/>
        <v>3.9325999999999999</v>
      </c>
      <c r="O150" s="636">
        <f t="shared" si="48"/>
        <v>1</v>
      </c>
      <c r="P150" s="635">
        <f>IF($O$11,Weather_Site!H148,IF(0.191*(Weather_Site!K148+104)*(Weather_Site!J148+1)^1.5/(3.52*(Weather_Site!J148+1)^1.5+Weather_Site!I148-1)&gt;10, 10,0.191*(Weather_Site!K148+104)*(Weather_Site!J148+1)^1.5/(3.52*(Weather_Site!J148+1)^1.5+Weather_Site!I148-1)))</f>
        <v>9.1</v>
      </c>
      <c r="Q150" s="636">
        <f t="shared" si="49"/>
        <v>0.98627459474380041</v>
      </c>
      <c r="R150" s="636">
        <f t="shared" si="50"/>
        <v>0.98627459474380041</v>
      </c>
      <c r="S150" s="635">
        <f t="shared" si="51"/>
        <v>1</v>
      </c>
      <c r="T150" s="707">
        <f t="shared" si="52"/>
        <v>152.80867857300925</v>
      </c>
      <c r="U150" s="707">
        <f t="shared" si="53"/>
        <v>501.54763188598537</v>
      </c>
      <c r="V150" s="707">
        <f t="shared" si="54"/>
        <v>707.43175274188798</v>
      </c>
      <c r="W150" s="636">
        <f t="shared" si="55"/>
        <v>1</v>
      </c>
      <c r="X150" s="636">
        <f t="shared" si="56"/>
        <v>4.121169199844868E-2</v>
      </c>
      <c r="Y150" s="707">
        <f t="shared" si="57"/>
        <v>510.03246486207019</v>
      </c>
      <c r="Z150" s="635">
        <f t="shared" si="58"/>
        <v>2.9208503623726685</v>
      </c>
      <c r="AA150" s="707">
        <f t="shared" si="59"/>
        <v>170.94532271821632</v>
      </c>
      <c r="AB150" s="707">
        <f t="shared" si="60"/>
        <v>6060.885790777601</v>
      </c>
    </row>
    <row r="151" spans="1:28"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42"/>
        <v>0</v>
      </c>
      <c r="I151" s="27">
        <f t="shared" si="43"/>
        <v>2.6666666666666665</v>
      </c>
      <c r="J151" s="739">
        <f>IF(Weather_Site!M149&lt;180,Weather_Site!M149+180,Weather_Site!M149-180)</f>
        <v>330</v>
      </c>
      <c r="K151" s="635">
        <f t="shared" si="44"/>
        <v>4.2052399999999999</v>
      </c>
      <c r="L151" s="635">
        <f t="shared" si="45"/>
        <v>4.9687000000000001</v>
      </c>
      <c r="M151" s="635">
        <f t="shared" si="46"/>
        <v>4.8197600000000005</v>
      </c>
      <c r="N151" s="635">
        <f t="shared" si="47"/>
        <v>4.8197600000000005</v>
      </c>
      <c r="O151" s="636">
        <f t="shared" si="48"/>
        <v>0.95669561582907869</v>
      </c>
      <c r="P151" s="635">
        <f>IF($O$11,Weather_Site!H149,IF(0.191*(Weather_Site!K149+104)*(Weather_Site!J149+1)^1.5/(3.52*(Weather_Site!J149+1)^1.5+Weather_Site!I149-1)&gt;10, 10,0.191*(Weather_Site!K149+104)*(Weather_Site!J149+1)^1.5/(3.52*(Weather_Site!J149+1)^1.5+Weather_Site!I149-1)))</f>
        <v>9.1</v>
      </c>
      <c r="Q151" s="636">
        <f t="shared" si="49"/>
        <v>0.98627459474380041</v>
      </c>
      <c r="R151" s="636">
        <f t="shared" si="50"/>
        <v>0.94356458079499517</v>
      </c>
      <c r="S151" s="635">
        <f t="shared" si="51"/>
        <v>1</v>
      </c>
      <c r="T151" s="707">
        <f t="shared" si="52"/>
        <v>127.8732760459683</v>
      </c>
      <c r="U151" s="707">
        <f t="shared" si="53"/>
        <v>435.36132048166132</v>
      </c>
      <c r="V151" s="707">
        <f t="shared" si="54"/>
        <v>588.1950371224998</v>
      </c>
      <c r="W151" s="636">
        <f t="shared" si="55"/>
        <v>1</v>
      </c>
      <c r="X151" s="636">
        <f t="shared" si="56"/>
        <v>1.0052688652993347E-2</v>
      </c>
      <c r="Y151" s="707">
        <f t="shared" si="57"/>
        <v>436.89771025073151</v>
      </c>
      <c r="Z151" s="635">
        <f t="shared" si="58"/>
        <v>2.6116240328759845</v>
      </c>
      <c r="AA151" s="707">
        <f t="shared" si="59"/>
        <v>158.11295246479858</v>
      </c>
      <c r="AB151" s="707">
        <f t="shared" si="60"/>
        <v>5191.8011234795258</v>
      </c>
    </row>
    <row r="152" spans="1:28"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42"/>
        <v>0</v>
      </c>
      <c r="I152" s="27">
        <f t="shared" si="43"/>
        <v>3</v>
      </c>
      <c r="J152" s="739">
        <f>IF(Weather_Site!M150&lt;180,Weather_Site!M150+180,Weather_Site!M150-180)</f>
        <v>328</v>
      </c>
      <c r="K152" s="635">
        <f t="shared" si="44"/>
        <v>4.6326499999999999</v>
      </c>
      <c r="L152" s="635">
        <f t="shared" si="45"/>
        <v>5.5961000000000007</v>
      </c>
      <c r="M152" s="635">
        <f t="shared" si="46"/>
        <v>5.5446499999999999</v>
      </c>
      <c r="N152" s="635">
        <f t="shared" si="47"/>
        <v>5.5446499999999999</v>
      </c>
      <c r="O152" s="636">
        <f t="shared" si="48"/>
        <v>0.90509704157657822</v>
      </c>
      <c r="P152" s="635">
        <f>IF($O$11,Weather_Site!H150,IF(0.191*(Weather_Site!K150+104)*(Weather_Site!J150+1)^1.5/(3.52*(Weather_Site!J150+1)^1.5+Weather_Site!I150-1)&gt;10, 10,0.191*(Weather_Site!K150+104)*(Weather_Site!J150+1)^1.5/(3.52*(Weather_Site!J150+1)^1.5+Weather_Site!I150-1)))</f>
        <v>9.1</v>
      </c>
      <c r="Q152" s="636">
        <f t="shared" si="49"/>
        <v>0.98627459474380041</v>
      </c>
      <c r="R152" s="636">
        <f t="shared" si="50"/>
        <v>0.89267421788475232</v>
      </c>
      <c r="S152" s="635">
        <f t="shared" si="51"/>
        <v>1</v>
      </c>
      <c r="T152" s="707">
        <f t="shared" si="52"/>
        <v>138.30668290365691</v>
      </c>
      <c r="U152" s="707">
        <f t="shared" si="53"/>
        <v>453.94927782974401</v>
      </c>
      <c r="V152" s="707">
        <f t="shared" si="54"/>
        <v>640.2943865240162</v>
      </c>
      <c r="W152" s="636">
        <f t="shared" si="55"/>
        <v>1</v>
      </c>
      <c r="X152" s="636">
        <f t="shared" si="56"/>
        <v>3.4624559236110463E-3</v>
      </c>
      <c r="Y152" s="707">
        <f t="shared" si="57"/>
        <v>454.59448955517843</v>
      </c>
      <c r="Z152" s="635">
        <f t="shared" si="58"/>
        <v>2.6876849319352911</v>
      </c>
      <c r="AA152" s="707">
        <f t="shared" si="59"/>
        <v>152.36442202546536</v>
      </c>
      <c r="AB152" s="707">
        <f t="shared" si="60"/>
        <v>5402.0978508807038</v>
      </c>
    </row>
    <row r="153" spans="1:28"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42"/>
        <v>0</v>
      </c>
      <c r="I153" s="27">
        <f t="shared" si="43"/>
        <v>3</v>
      </c>
      <c r="J153" s="739">
        <f>IF(Weather_Site!M151&lt;180,Weather_Site!M151+180,Weather_Site!M151-180)</f>
        <v>325</v>
      </c>
      <c r="K153" s="635">
        <f t="shared" si="44"/>
        <v>4.9887099999999993</v>
      </c>
      <c r="L153" s="635">
        <f t="shared" si="45"/>
        <v>6.1165000000000003</v>
      </c>
      <c r="M153" s="635">
        <f t="shared" si="46"/>
        <v>6.1463900000000002</v>
      </c>
      <c r="N153" s="635">
        <f t="shared" si="47"/>
        <v>6.1463900000000002</v>
      </c>
      <c r="O153" s="636">
        <f t="shared" si="48"/>
        <v>0.8568507545097992</v>
      </c>
      <c r="P153" s="635">
        <f>IF($O$11,Weather_Site!H151,IF(0.191*(Weather_Site!K151+104)*(Weather_Site!J151+1)^1.5/(3.52*(Weather_Site!J151+1)^1.5+Weather_Site!I151-1)&gt;10, 10,0.191*(Weather_Site!K151+104)*(Weather_Site!J151+1)^1.5/(3.52*(Weather_Site!J151+1)^1.5+Weather_Site!I151-1)))</f>
        <v>9.1</v>
      </c>
      <c r="Q153" s="636">
        <f t="shared" si="49"/>
        <v>0.98627459474380041</v>
      </c>
      <c r="R153" s="636">
        <f t="shared" si="50"/>
        <v>0.84509013066007177</v>
      </c>
      <c r="S153" s="635">
        <f t="shared" si="51"/>
        <v>1</v>
      </c>
      <c r="T153" s="707">
        <f t="shared" si="52"/>
        <v>130.93423153092834</v>
      </c>
      <c r="U153" s="707">
        <f t="shared" si="53"/>
        <v>429.75146680410955</v>
      </c>
      <c r="V153" s="707">
        <f t="shared" si="54"/>
        <v>606.16343110107641</v>
      </c>
      <c r="W153" s="636">
        <f t="shared" si="55"/>
        <v>1</v>
      </c>
      <c r="X153" s="636">
        <f t="shared" si="56"/>
        <v>9.6631405879919676E-4</v>
      </c>
      <c r="Y153" s="707">
        <f t="shared" si="57"/>
        <v>429.92193616535008</v>
      </c>
      <c r="Z153" s="635">
        <f t="shared" si="58"/>
        <v>2.5814086923798563</v>
      </c>
      <c r="AA153" s="707">
        <f t="shared" si="59"/>
        <v>144.09503156098341</v>
      </c>
      <c r="AB153" s="707">
        <f t="shared" si="60"/>
        <v>5108.9056747649101</v>
      </c>
    </row>
    <row r="154" spans="1:28"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42"/>
        <v>0</v>
      </c>
      <c r="I154" s="27">
        <f t="shared" si="43"/>
        <v>3</v>
      </c>
      <c r="J154" s="739">
        <f>IF(Weather_Site!M152&lt;180,Weather_Site!M152+180,Weather_Site!M152-180)</f>
        <v>311</v>
      </c>
      <c r="K154" s="635">
        <f t="shared" si="44"/>
        <v>5.1753999999999998</v>
      </c>
      <c r="L154" s="635">
        <f t="shared" si="45"/>
        <v>6.3846000000000007</v>
      </c>
      <c r="M154" s="635">
        <f t="shared" si="46"/>
        <v>6.4573999999999998</v>
      </c>
      <c r="N154" s="635">
        <f t="shared" si="47"/>
        <v>6.4573999999999998</v>
      </c>
      <c r="O154" s="636">
        <f t="shared" si="48"/>
        <v>0.83048071462284201</v>
      </c>
      <c r="P154" s="635">
        <f>IF($O$11,Weather_Site!H152,IF(0.191*(Weather_Site!K152+104)*(Weather_Site!J152+1)^1.5/(3.52*(Weather_Site!J152+1)^1.5+Weather_Site!I152-1)&gt;10, 10,0.191*(Weather_Site!K152+104)*(Weather_Site!J152+1)^1.5/(3.52*(Weather_Site!J152+1)^1.5+Weather_Site!I152-1)))</f>
        <v>9.1</v>
      </c>
      <c r="Q154" s="636">
        <f t="shared" si="49"/>
        <v>0.98627459474380041</v>
      </c>
      <c r="R154" s="636">
        <f t="shared" si="50"/>
        <v>0.81908203025718529</v>
      </c>
      <c r="S154" s="635">
        <f t="shared" si="51"/>
        <v>1</v>
      </c>
      <c r="T154" s="707">
        <f t="shared" si="52"/>
        <v>126.90466058188488</v>
      </c>
      <c r="U154" s="707">
        <f t="shared" si="53"/>
        <v>416.52563574606722</v>
      </c>
      <c r="V154" s="707">
        <f t="shared" si="54"/>
        <v>587.50842756397287</v>
      </c>
      <c r="W154" s="636">
        <f t="shared" si="55"/>
        <v>1</v>
      </c>
      <c r="X154" s="636">
        <f t="shared" si="56"/>
        <v>4.806065095487938E-4</v>
      </c>
      <c r="Y154" s="707">
        <f t="shared" si="57"/>
        <v>416.60781118883574</v>
      </c>
      <c r="Z154" s="635">
        <f t="shared" si="58"/>
        <v>2.5233587547983136</v>
      </c>
      <c r="AA154" s="707">
        <f t="shared" si="59"/>
        <v>139.63259525031361</v>
      </c>
      <c r="AB154" s="707">
        <f t="shared" si="60"/>
        <v>4950.6894896273316</v>
      </c>
    </row>
    <row r="155" spans="1:28"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42"/>
        <v>0</v>
      </c>
      <c r="I155" s="27">
        <f t="shared" si="43"/>
        <v>3.3333333333333335</v>
      </c>
      <c r="J155" s="739">
        <f>IF(Weather_Site!M153&lt;180,Weather_Site!M153+180,Weather_Site!M153-180)</f>
        <v>302</v>
      </c>
      <c r="K155" s="635">
        <f t="shared" si="44"/>
        <v>5.3962399999999997</v>
      </c>
      <c r="L155" s="635">
        <f t="shared" si="45"/>
        <v>6.7090000000000014</v>
      </c>
      <c r="M155" s="635">
        <f t="shared" si="46"/>
        <v>6.8321600000000009</v>
      </c>
      <c r="N155" s="635">
        <f t="shared" si="47"/>
        <v>6.8321600000000009</v>
      </c>
      <c r="O155" s="636">
        <f t="shared" si="48"/>
        <v>0.79773383503401107</v>
      </c>
      <c r="P155" s="635">
        <f>IF($O$11,Weather_Site!H153,IF(0.191*(Weather_Site!K153+104)*(Weather_Site!J153+1)^1.5/(3.52*(Weather_Site!J153+1)^1.5+Weather_Site!I153-1)&gt;10, 10,0.191*(Weather_Site!K153+104)*(Weather_Site!J153+1)^1.5/(3.52*(Weather_Site!J153+1)^1.5+Weather_Site!I153-1)))</f>
        <v>9.1</v>
      </c>
      <c r="Q155" s="636">
        <f t="shared" si="49"/>
        <v>0.98627459474380041</v>
      </c>
      <c r="R155" s="636">
        <f t="shared" si="50"/>
        <v>0.78678461486158702</v>
      </c>
      <c r="S155" s="635">
        <f t="shared" si="51"/>
        <v>1</v>
      </c>
      <c r="T155" s="707">
        <f t="shared" si="52"/>
        <v>136.98766078474321</v>
      </c>
      <c r="U155" s="707">
        <f t="shared" si="53"/>
        <v>436.46728703248539</v>
      </c>
      <c r="V155" s="707">
        <f t="shared" si="54"/>
        <v>639.81224119269496</v>
      </c>
      <c r="W155" s="636">
        <f t="shared" si="55"/>
        <v>1</v>
      </c>
      <c r="X155" s="636">
        <f t="shared" si="56"/>
        <v>2.7108084824329476E-4</v>
      </c>
      <c r="Y155" s="707">
        <f t="shared" si="57"/>
        <v>436.52240995514512</v>
      </c>
      <c r="Z155" s="635">
        <f t="shared" si="58"/>
        <v>2.6100018501337598</v>
      </c>
      <c r="AA155" s="707">
        <f t="shared" si="59"/>
        <v>136.24294942420258</v>
      </c>
      <c r="AB155" s="707">
        <f t="shared" si="60"/>
        <v>5187.3413049669743</v>
      </c>
    </row>
    <row r="156" spans="1:28"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42"/>
        <v>0</v>
      </c>
      <c r="I156" s="27">
        <f t="shared" si="43"/>
        <v>3.3333333333333335</v>
      </c>
      <c r="J156" s="739">
        <f>IF(Weather_Site!M154&lt;180,Weather_Site!M154+180,Weather_Site!M154-180)</f>
        <v>303</v>
      </c>
      <c r="K156" s="635">
        <f t="shared" si="44"/>
        <v>5.6257400000000004</v>
      </c>
      <c r="L156" s="635">
        <f t="shared" si="45"/>
        <v>7.0412999999999997</v>
      </c>
      <c r="M156" s="635">
        <f t="shared" si="46"/>
        <v>7.21706</v>
      </c>
      <c r="N156" s="635">
        <f t="shared" si="47"/>
        <v>7.21706</v>
      </c>
      <c r="O156" s="636">
        <f t="shared" si="48"/>
        <v>0.76328633820887604</v>
      </c>
      <c r="P156" s="635">
        <f>IF($O$11,Weather_Site!H154,IF(0.191*(Weather_Site!K154+104)*(Weather_Site!J154+1)^1.5/(3.52*(Weather_Site!J154+1)^1.5+Weather_Site!I154-1)&gt;10, 10,0.191*(Weather_Site!K154+104)*(Weather_Site!J154+1)^1.5/(3.52*(Weather_Site!J154+1)^1.5+Weather_Site!I154-1)))</f>
        <v>9.1</v>
      </c>
      <c r="Q156" s="636">
        <f t="shared" si="49"/>
        <v>0.98627459474380041</v>
      </c>
      <c r="R156" s="636">
        <f t="shared" si="50"/>
        <v>0.75280992389043855</v>
      </c>
      <c r="S156" s="635">
        <f t="shared" si="51"/>
        <v>1</v>
      </c>
      <c r="T156" s="707">
        <f t="shared" si="52"/>
        <v>131.072301798166</v>
      </c>
      <c r="U156" s="707">
        <f t="shared" si="53"/>
        <v>417.61989104145806</v>
      </c>
      <c r="V156" s="707">
        <f t="shared" si="54"/>
        <v>612.18406600538037</v>
      </c>
      <c r="W156" s="636">
        <f t="shared" si="55"/>
        <v>1</v>
      </c>
      <c r="X156" s="636">
        <f t="shared" si="56"/>
        <v>1.0880572526915976E-4</v>
      </c>
      <c r="Y156" s="707">
        <f t="shared" si="57"/>
        <v>417.64106073762639</v>
      </c>
      <c r="Z156" s="635">
        <f t="shared" si="58"/>
        <v>2.5278819576446607</v>
      </c>
      <c r="AA156" s="707">
        <f t="shared" si="59"/>
        <v>130.34989411286716</v>
      </c>
      <c r="AB156" s="707">
        <f t="shared" si="60"/>
        <v>4962.9679384321271</v>
      </c>
    </row>
    <row r="157" spans="1:28"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42"/>
        <v>0</v>
      </c>
      <c r="I157" s="27">
        <f t="shared" si="43"/>
        <v>3.3333333333333335</v>
      </c>
      <c r="J157" s="739">
        <f>IF(Weather_Site!M155&lt;180,Weather_Site!M155+180,Weather_Site!M155-180)</f>
        <v>301</v>
      </c>
      <c r="K157" s="635">
        <f t="shared" si="44"/>
        <v>6.39405</v>
      </c>
      <c r="L157" s="635">
        <f t="shared" si="45"/>
        <v>8.1138000000000012</v>
      </c>
      <c r="M157" s="635">
        <f t="shared" si="46"/>
        <v>8.4678500000000003</v>
      </c>
      <c r="N157" s="635">
        <f t="shared" si="47"/>
        <v>8.4678500000000003</v>
      </c>
      <c r="O157" s="636">
        <f t="shared" si="48"/>
        <v>0.64913425053492335</v>
      </c>
      <c r="P157" s="635">
        <f>IF($O$11,Weather_Site!H155,IF(0.191*(Weather_Site!K155+104)*(Weather_Site!J155+1)^1.5/(3.52*(Weather_Site!J155+1)^1.5+Weather_Site!I155-1)&gt;10, 10,0.191*(Weather_Site!K155+104)*(Weather_Site!J155+1)^1.5/(3.52*(Weather_Site!J155+1)^1.5+Weather_Site!I155-1)))</f>
        <v>9.1</v>
      </c>
      <c r="Q157" s="636">
        <f t="shared" si="49"/>
        <v>0.98627459474380041</v>
      </c>
      <c r="R157" s="636">
        <f t="shared" si="50"/>
        <v>0.64022461988065216</v>
      </c>
      <c r="S157" s="635">
        <f t="shared" si="51"/>
        <v>1</v>
      </c>
      <c r="T157" s="707">
        <f t="shared" si="52"/>
        <v>111.46998987731963</v>
      </c>
      <c r="U157" s="707">
        <f t="shared" si="53"/>
        <v>355.16340514598357</v>
      </c>
      <c r="V157" s="707">
        <f t="shared" si="54"/>
        <v>520.62984096942864</v>
      </c>
      <c r="W157" s="636">
        <f t="shared" si="55"/>
        <v>1</v>
      </c>
      <c r="X157" s="636">
        <f t="shared" si="56"/>
        <v>5.2810111065627621E-6</v>
      </c>
      <c r="Y157" s="707">
        <f t="shared" si="57"/>
        <v>355.16427897606894</v>
      </c>
      <c r="Z157" s="635">
        <f t="shared" si="58"/>
        <v>2.2484148911714548</v>
      </c>
      <c r="AA157" s="707">
        <f t="shared" si="59"/>
        <v>110.85027433710016</v>
      </c>
      <c r="AB157" s="707">
        <f t="shared" si="60"/>
        <v>4220.5355151656195</v>
      </c>
    </row>
    <row r="158" spans="1:28"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ref="H158:H179" si="61">C$4</f>
        <v>0</v>
      </c>
      <c r="I158" s="27">
        <f t="shared" si="43"/>
        <v>3</v>
      </c>
      <c r="J158" s="739">
        <f>IF(Weather_Site!M156&lt;180,Weather_Site!M156+180,Weather_Site!M156-180)</f>
        <v>299</v>
      </c>
      <c r="K158" s="635">
        <f t="shared" si="44"/>
        <v>7.1176799999999991</v>
      </c>
      <c r="L158" s="635">
        <f t="shared" si="45"/>
        <v>9.1176000000000013</v>
      </c>
      <c r="M158" s="635">
        <f t="shared" si="46"/>
        <v>9.63992</v>
      </c>
      <c r="N158" s="635">
        <f t="shared" si="47"/>
        <v>9.63992</v>
      </c>
      <c r="O158" s="636">
        <f t="shared" si="48"/>
        <v>0.54498448558489154</v>
      </c>
      <c r="P158" s="635">
        <f>IF($O$11,Weather_Site!H156,IF(0.191*(Weather_Site!K156+104)*(Weather_Site!J156+1)^1.5/(3.52*(Weather_Site!J156+1)^1.5+Weather_Site!I156-1)&gt;10, 10,0.191*(Weather_Site!K156+104)*(Weather_Site!J156+1)^1.5/(3.52*(Weather_Site!J156+1)^1.5+Weather_Site!I156-1)))</f>
        <v>9.1</v>
      </c>
      <c r="Q158" s="636">
        <f t="shared" si="49"/>
        <v>0.98627459474380041</v>
      </c>
      <c r="R158" s="636">
        <f t="shared" si="50"/>
        <v>0.53750435266189744</v>
      </c>
      <c r="S158" s="635">
        <f t="shared" si="51"/>
        <v>1</v>
      </c>
      <c r="T158" s="707">
        <f t="shared" si="52"/>
        <v>83.278359085018479</v>
      </c>
      <c r="U158" s="707">
        <f t="shared" si="53"/>
        <v>273.33567815970429</v>
      </c>
      <c r="V158" s="707">
        <f t="shared" si="54"/>
        <v>385.53932985445601</v>
      </c>
      <c r="W158" s="636">
        <f t="shared" si="55"/>
        <v>1</v>
      </c>
      <c r="X158" s="636">
        <f t="shared" si="56"/>
        <v>0</v>
      </c>
      <c r="Y158" s="707">
        <f t="shared" si="57"/>
        <v>273.33567815970429</v>
      </c>
      <c r="Z158" s="635">
        <f t="shared" si="58"/>
        <v>1.8605764750966574</v>
      </c>
      <c r="AA158" s="707">
        <f t="shared" si="59"/>
        <v>91.612708861678598</v>
      </c>
      <c r="AB158" s="707">
        <f t="shared" si="60"/>
        <v>3248.1389754644861</v>
      </c>
    </row>
    <row r="159" spans="1:28"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61"/>
        <v>0</v>
      </c>
      <c r="I159" s="27">
        <f t="shared" si="43"/>
        <v>3</v>
      </c>
      <c r="J159" s="739">
        <f>IF(Weather_Site!M157&lt;180,Weather_Site!M157+180,Weather_Site!M157-180)</f>
        <v>297</v>
      </c>
      <c r="K159" s="635">
        <f t="shared" si="44"/>
        <v>7.9405100000000006</v>
      </c>
      <c r="L159" s="635">
        <f t="shared" si="45"/>
        <v>10.256600000000001</v>
      </c>
      <c r="M159" s="635">
        <f t="shared" si="46"/>
        <v>10.97039</v>
      </c>
      <c r="N159" s="635">
        <f t="shared" si="47"/>
        <v>10.97039</v>
      </c>
      <c r="O159" s="636">
        <f t="shared" si="48"/>
        <v>0.43749463725486792</v>
      </c>
      <c r="P159" s="635">
        <f>IF($O$11,Weather_Site!H157,IF(0.191*(Weather_Site!K157+104)*(Weather_Site!J157+1)^1.5/(3.52*(Weather_Site!J157+1)^1.5+Weather_Site!I157-1)&gt;10, 10,0.191*(Weather_Site!K157+104)*(Weather_Site!J157+1)^1.5/(3.52*(Weather_Site!J157+1)^1.5+Weather_Site!I157-1)))</f>
        <v>9.1</v>
      </c>
      <c r="Q159" s="636">
        <f t="shared" si="49"/>
        <v>0.98627459474380041</v>
      </c>
      <c r="R159" s="636">
        <f t="shared" si="50"/>
        <v>0.43148984606113083</v>
      </c>
      <c r="S159" s="635">
        <f t="shared" si="51"/>
        <v>1</v>
      </c>
      <c r="T159" s="707">
        <f t="shared" si="52"/>
        <v>66.852977401694389</v>
      </c>
      <c r="U159" s="707">
        <f t="shared" si="53"/>
        <v>219.4243992779972</v>
      </c>
      <c r="V159" s="707">
        <f t="shared" si="54"/>
        <v>309.49759804838772</v>
      </c>
      <c r="W159" s="636">
        <f t="shared" si="55"/>
        <v>1</v>
      </c>
      <c r="X159" s="636">
        <f t="shared" si="56"/>
        <v>0</v>
      </c>
      <c r="Y159" s="707">
        <f t="shared" si="57"/>
        <v>219.4243992779972</v>
      </c>
      <c r="Z159" s="635">
        <f t="shared" si="58"/>
        <v>1.5873221606648749</v>
      </c>
      <c r="AA159" s="707">
        <f t="shared" si="59"/>
        <v>73.543504249228178</v>
      </c>
      <c r="AB159" s="707">
        <f t="shared" si="60"/>
        <v>2607.4932780868667</v>
      </c>
    </row>
    <row r="160" spans="1:28"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1"/>
        <v>0</v>
      </c>
      <c r="I160" s="27">
        <f t="shared" si="43"/>
        <v>3</v>
      </c>
      <c r="J160" s="739">
        <f>IF(Weather_Site!M158&lt;180,Weather_Site!M158+180,Weather_Site!M158-180)</f>
        <v>293</v>
      </c>
      <c r="K160" s="635">
        <f t="shared" si="44"/>
        <v>8.1283799999999999</v>
      </c>
      <c r="L160" s="635">
        <f t="shared" si="45"/>
        <v>10.514600000000002</v>
      </c>
      <c r="M160" s="635">
        <f t="shared" si="46"/>
        <v>11.272220000000001</v>
      </c>
      <c r="N160" s="635">
        <f t="shared" si="47"/>
        <v>10.514600000000002</v>
      </c>
      <c r="O160" s="636">
        <f t="shared" si="48"/>
        <v>0.47264097459538906</v>
      </c>
      <c r="P160" s="635">
        <f>IF($O$11,Weather_Site!H158,IF(0.191*(Weather_Site!K158+104)*(Weather_Site!J158+1)^1.5/(3.52*(Weather_Site!J158+1)^1.5+Weather_Site!I158-1)&gt;10, 10,0.191*(Weather_Site!K158+104)*(Weather_Site!J158+1)^1.5/(3.52*(Weather_Site!J158+1)^1.5+Weather_Site!I158-1)))</f>
        <v>9.1</v>
      </c>
      <c r="Q160" s="636">
        <f t="shared" si="49"/>
        <v>0.98627459474380041</v>
      </c>
      <c r="R160" s="636">
        <f t="shared" si="50"/>
        <v>0.46615378567838223</v>
      </c>
      <c r="S160" s="635">
        <f t="shared" si="51"/>
        <v>1</v>
      </c>
      <c r="T160" s="707">
        <f t="shared" si="52"/>
        <v>72.223642767380639</v>
      </c>
      <c r="U160" s="707">
        <f t="shared" si="53"/>
        <v>237.05196154060155</v>
      </c>
      <c r="V160" s="707">
        <f t="shared" si="54"/>
        <v>334.36123307565026</v>
      </c>
      <c r="W160" s="636">
        <f t="shared" si="55"/>
        <v>1</v>
      </c>
      <c r="X160" s="636">
        <f t="shared" si="56"/>
        <v>0</v>
      </c>
      <c r="Y160" s="707">
        <f t="shared" si="57"/>
        <v>237.05196154060155</v>
      </c>
      <c r="Z160" s="635">
        <f t="shared" si="58"/>
        <v>1.6785256136737876</v>
      </c>
      <c r="AA160" s="707">
        <f t="shared" si="59"/>
        <v>79.451656234281259</v>
      </c>
      <c r="AB160" s="707">
        <f t="shared" si="60"/>
        <v>2816.9674763074822</v>
      </c>
    </row>
    <row r="161" spans="1:28"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1"/>
        <v>0</v>
      </c>
      <c r="I161" s="27">
        <f t="shared" si="43"/>
        <v>3.3333333333333335</v>
      </c>
      <c r="J161" s="739">
        <f>IF(Weather_Site!M159&lt;180,Weather_Site!M159+180,Weather_Site!M159-180)</f>
        <v>291</v>
      </c>
      <c r="K161" s="635">
        <f t="shared" si="44"/>
        <v>7.6396600000000001</v>
      </c>
      <c r="L161" s="635">
        <f t="shared" si="45"/>
        <v>9.8173000000000012</v>
      </c>
      <c r="M161" s="635">
        <f t="shared" si="46"/>
        <v>10.462340000000001</v>
      </c>
      <c r="N161" s="635">
        <f t="shared" si="47"/>
        <v>9.8173000000000012</v>
      </c>
      <c r="O161" s="636">
        <f t="shared" si="48"/>
        <v>0.52985508229225586</v>
      </c>
      <c r="P161" s="635">
        <f>IF($O$11,Weather_Site!H159,IF(0.191*(Weather_Site!K159+104)*(Weather_Site!J159+1)^1.5/(3.52*(Weather_Site!J159+1)^1.5+Weather_Site!I159-1)&gt;10, 10,0.191*(Weather_Site!K159+104)*(Weather_Site!J159+1)^1.5/(3.52*(Weather_Site!J159+1)^1.5+Weather_Site!I159-1)))</f>
        <v>9.1</v>
      </c>
      <c r="Q161" s="636">
        <f t="shared" si="49"/>
        <v>0.98627459474380041</v>
      </c>
      <c r="R161" s="636">
        <f t="shared" si="50"/>
        <v>0.52258260656073763</v>
      </c>
      <c r="S161" s="635">
        <f t="shared" si="51"/>
        <v>1</v>
      </c>
      <c r="T161" s="707">
        <f t="shared" si="52"/>
        <v>90.987250496939438</v>
      </c>
      <c r="U161" s="707">
        <f t="shared" si="53"/>
        <v>289.90171926030354</v>
      </c>
      <c r="V161" s="707">
        <f t="shared" si="54"/>
        <v>424.96350639846503</v>
      </c>
      <c r="W161" s="636">
        <f t="shared" si="55"/>
        <v>1</v>
      </c>
      <c r="X161" s="636">
        <f t="shared" si="56"/>
        <v>0</v>
      </c>
      <c r="Y161" s="707">
        <f t="shared" si="57"/>
        <v>289.90171926030354</v>
      </c>
      <c r="Z161" s="635">
        <f t="shared" si="58"/>
        <v>1.9414374623302679</v>
      </c>
      <c r="AA161" s="707">
        <f t="shared" si="59"/>
        <v>90.48118578661159</v>
      </c>
      <c r="AB161" s="707">
        <f t="shared" si="60"/>
        <v>3444.998763876607</v>
      </c>
    </row>
    <row r="162" spans="1:28"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1"/>
        <v>0</v>
      </c>
      <c r="I162" s="27">
        <f t="shared" si="43"/>
        <v>4.666666666666667</v>
      </c>
      <c r="J162" s="739">
        <f>IF(Weather_Site!M160&lt;180,Weather_Site!M160+180,Weather_Site!M160-180)</f>
        <v>278</v>
      </c>
      <c r="K162" s="635">
        <f t="shared" si="44"/>
        <v>6.7099500000000001</v>
      </c>
      <c r="L162" s="635">
        <f t="shared" si="45"/>
        <v>8.4858000000000011</v>
      </c>
      <c r="M162" s="635">
        <f t="shared" si="46"/>
        <v>8.9169500000000017</v>
      </c>
      <c r="N162" s="635">
        <f t="shared" si="47"/>
        <v>8.4858000000000011</v>
      </c>
      <c r="O162" s="636">
        <f t="shared" si="48"/>
        <v>0.64750076780087429</v>
      </c>
      <c r="P162" s="635">
        <f>IF($O$11,Weather_Site!H160,IF(0.191*(Weather_Site!K160+104)*(Weather_Site!J160+1)^1.5/(3.52*(Weather_Site!J160+1)^1.5+Weather_Site!I160-1)&gt;10, 10,0.191*(Weather_Site!K160+104)*(Weather_Site!J160+1)^1.5/(3.52*(Weather_Site!J160+1)^1.5+Weather_Site!I160-1)))</f>
        <v>9.1</v>
      </c>
      <c r="Q162" s="636">
        <f t="shared" si="49"/>
        <v>0.98627459474380041</v>
      </c>
      <c r="R162" s="636">
        <f t="shared" si="50"/>
        <v>0.63861355735910685</v>
      </c>
      <c r="S162" s="635">
        <f t="shared" si="51"/>
        <v>1</v>
      </c>
      <c r="T162" s="707">
        <f t="shared" si="52"/>
        <v>159.0392757529506</v>
      </c>
      <c r="U162" s="707">
        <f t="shared" si="53"/>
        <v>467.72483674939036</v>
      </c>
      <c r="V162" s="707">
        <f t="shared" si="54"/>
        <v>775.37934252647915</v>
      </c>
      <c r="W162" s="636">
        <f t="shared" si="55"/>
        <v>1</v>
      </c>
      <c r="X162" s="636">
        <f t="shared" si="56"/>
        <v>1.6464584259888537E-5</v>
      </c>
      <c r="Y162" s="707">
        <f t="shared" si="57"/>
        <v>467.72990215292367</v>
      </c>
      <c r="Z162" s="635">
        <f t="shared" si="58"/>
        <v>2.7436111972937365</v>
      </c>
      <c r="AA162" s="707">
        <f t="shared" si="59"/>
        <v>114.48254898984815</v>
      </c>
      <c r="AB162" s="707">
        <f t="shared" si="60"/>
        <v>5558.1903372505767</v>
      </c>
    </row>
    <row r="163" spans="1:28"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1"/>
        <v>0</v>
      </c>
      <c r="I163" s="27">
        <f t="shared" si="43"/>
        <v>3.3333333333333335</v>
      </c>
      <c r="J163" s="739">
        <f>IF(Weather_Site!M161&lt;180,Weather_Site!M161+180,Weather_Site!M161-180)</f>
        <v>259</v>
      </c>
      <c r="K163" s="635">
        <f t="shared" si="44"/>
        <v>6.1721199999999996</v>
      </c>
      <c r="L163" s="635">
        <f t="shared" si="45"/>
        <v>7.6962000000000002</v>
      </c>
      <c r="M163" s="635">
        <f t="shared" si="46"/>
        <v>8.0046800000000005</v>
      </c>
      <c r="N163" s="635">
        <f t="shared" si="47"/>
        <v>7.6962000000000002</v>
      </c>
      <c r="O163" s="636">
        <f t="shared" si="48"/>
        <v>0.71970013027024926</v>
      </c>
      <c r="P163" s="635">
        <f>IF($O$11,Weather_Site!H161,IF(0.191*(Weather_Site!K161+104)*(Weather_Site!J161+1)^1.5/(3.52*(Weather_Site!J161+1)^1.5+Weather_Site!I161-1)&gt;10, 10,0.191*(Weather_Site!K161+104)*(Weather_Site!J161+1)^1.5/(3.52*(Weather_Site!J161+1)^1.5+Weather_Site!I161-1)))</f>
        <v>9.1</v>
      </c>
      <c r="Q163" s="636">
        <f t="shared" si="49"/>
        <v>0.98627459474380041</v>
      </c>
      <c r="R163" s="636">
        <f t="shared" si="50"/>
        <v>0.70982195431935047</v>
      </c>
      <c r="S163" s="635">
        <f t="shared" si="51"/>
        <v>1</v>
      </c>
      <c r="T163" s="707">
        <f t="shared" si="52"/>
        <v>123.58763409852492</v>
      </c>
      <c r="U163" s="707">
        <f t="shared" si="53"/>
        <v>393.7723956795557</v>
      </c>
      <c r="V163" s="707">
        <f t="shared" si="54"/>
        <v>577.22630420364533</v>
      </c>
      <c r="W163" s="636">
        <f t="shared" si="55"/>
        <v>1</v>
      </c>
      <c r="X163" s="636">
        <f t="shared" si="56"/>
        <v>3.4274635470130331E-5</v>
      </c>
      <c r="Y163" s="707">
        <f t="shared" si="57"/>
        <v>393.77868349539597</v>
      </c>
      <c r="Z163" s="635">
        <f t="shared" si="58"/>
        <v>2.4226095577622266</v>
      </c>
      <c r="AA163" s="707">
        <f t="shared" si="59"/>
        <v>122.90221082877527</v>
      </c>
      <c r="AB163" s="707">
        <f t="shared" si="60"/>
        <v>4679.4033555369551</v>
      </c>
    </row>
    <row r="164" spans="1:28"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1"/>
        <v>0</v>
      </c>
      <c r="I164" s="27">
        <f t="shared" si="43"/>
        <v>5.333333333333333</v>
      </c>
      <c r="J164" s="739">
        <f>IF(Weather_Site!M162&lt;180,Weather_Site!M162+180,Weather_Site!M162-180)</f>
        <v>241</v>
      </c>
      <c r="K164" s="635">
        <f t="shared" si="44"/>
        <v>5.2356199999999991</v>
      </c>
      <c r="L164" s="635">
        <f t="shared" si="45"/>
        <v>6.3613</v>
      </c>
      <c r="M164" s="635">
        <f t="shared" si="46"/>
        <v>6.4539799999999996</v>
      </c>
      <c r="N164" s="635">
        <f t="shared" si="47"/>
        <v>6.3613</v>
      </c>
      <c r="O164" s="636">
        <f t="shared" si="48"/>
        <v>0.83871627945008553</v>
      </c>
      <c r="P164" s="635">
        <f>IF($O$11,Weather_Site!H162,IF(0.191*(Weather_Site!K162+104)*(Weather_Site!J162+1)^1.5/(3.52*(Weather_Site!J162+1)^1.5+Weather_Site!I162-1)&gt;10, 10,0.191*(Weather_Site!K162+104)*(Weather_Site!J162+1)^1.5/(3.52*(Weather_Site!J162+1)^1.5+Weather_Site!I162-1)))</f>
        <v>9.1</v>
      </c>
      <c r="Q164" s="636">
        <f t="shared" si="49"/>
        <v>0.98627459474380041</v>
      </c>
      <c r="R164" s="636">
        <f t="shared" si="50"/>
        <v>0.82720455861966113</v>
      </c>
      <c r="S164" s="635">
        <f t="shared" si="51"/>
        <v>1</v>
      </c>
      <c r="T164" s="707">
        <f t="shared" si="52"/>
        <v>236.32829596875368</v>
      </c>
      <c r="U164" s="707">
        <f t="shared" si="53"/>
        <v>676.47007235558829</v>
      </c>
      <c r="V164" s="707">
        <f t="shared" si="54"/>
        <v>1177.5345484939662</v>
      </c>
      <c r="W164" s="636">
        <f t="shared" si="55"/>
        <v>1</v>
      </c>
      <c r="X164" s="636">
        <f t="shared" si="56"/>
        <v>4.6975712745223192E-3</v>
      </c>
      <c r="Y164" s="707">
        <f t="shared" si="57"/>
        <v>678.82385844537953</v>
      </c>
      <c r="Z164" s="635">
        <f t="shared" si="58"/>
        <v>3.5915049187587371</v>
      </c>
      <c r="AA164" s="707">
        <f t="shared" si="59"/>
        <v>149.96992277425315</v>
      </c>
      <c r="AB164" s="707">
        <f t="shared" si="60"/>
        <v>8066.6901845259254</v>
      </c>
    </row>
    <row r="165" spans="1:28"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1"/>
        <v>0</v>
      </c>
      <c r="I165" s="27">
        <f t="shared" si="43"/>
        <v>5.666666666666667</v>
      </c>
      <c r="J165" s="739">
        <f>IF(Weather_Site!M163&lt;180,Weather_Site!M163+180,Weather_Site!M163-180)</f>
        <v>236</v>
      </c>
      <c r="K165" s="635">
        <f t="shared" si="44"/>
        <v>4.6432699999999993</v>
      </c>
      <c r="L165" s="635">
        <f t="shared" si="45"/>
        <v>5.5052000000000003</v>
      </c>
      <c r="M165" s="635">
        <f t="shared" si="46"/>
        <v>5.4620300000000004</v>
      </c>
      <c r="N165" s="635">
        <f t="shared" si="47"/>
        <v>5.5052000000000003</v>
      </c>
      <c r="O165" s="636">
        <f t="shared" si="48"/>
        <v>0.90810741469631451</v>
      </c>
      <c r="P165" s="635">
        <f>IF($O$11,Weather_Site!H163,IF(0.191*(Weather_Site!K163+104)*(Weather_Site!J163+1)^1.5/(3.52*(Weather_Site!J163+1)^1.5+Weather_Site!I163-1)&gt;10, 10,0.191*(Weather_Site!K163+104)*(Weather_Site!J163+1)^1.5/(3.52*(Weather_Site!J163+1)^1.5+Weather_Site!I163-1)))</f>
        <v>9.1</v>
      </c>
      <c r="Q165" s="636">
        <f t="shared" si="49"/>
        <v>0.98627459474380041</v>
      </c>
      <c r="R165" s="636">
        <f t="shared" si="50"/>
        <v>0.89564327241344788</v>
      </c>
      <c r="S165" s="635">
        <f t="shared" si="51"/>
        <v>1</v>
      </c>
      <c r="T165" s="707">
        <f t="shared" si="52"/>
        <v>272.15346553979231</v>
      </c>
      <c r="U165" s="707">
        <f t="shared" si="53"/>
        <v>770.03466804283926</v>
      </c>
      <c r="V165" s="707">
        <f t="shared" si="54"/>
        <v>1370.4428997599659</v>
      </c>
      <c r="W165" s="636">
        <f t="shared" si="55"/>
        <v>1</v>
      </c>
      <c r="X165" s="636">
        <f t="shared" si="56"/>
        <v>3.8356489368245032E-2</v>
      </c>
      <c r="Y165" s="707">
        <f t="shared" si="57"/>
        <v>793.06421999930399</v>
      </c>
      <c r="Z165" s="635">
        <f t="shared" si="58"/>
        <v>4.0189816713112192</v>
      </c>
      <c r="AA165" s="707">
        <f t="shared" si="59"/>
        <v>167.0734431615623</v>
      </c>
      <c r="AB165" s="707">
        <f t="shared" si="60"/>
        <v>9424.2464809917274</v>
      </c>
    </row>
    <row r="166" spans="1:28"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1"/>
        <v>0</v>
      </c>
      <c r="I166" s="27">
        <f t="shared" si="43"/>
        <v>5.666666666666667</v>
      </c>
      <c r="J166" s="739">
        <f>IF(Weather_Site!M164&lt;180,Weather_Site!M164+180,Weather_Site!M164-180)</f>
        <v>270</v>
      </c>
      <c r="K166" s="635">
        <f t="shared" si="44"/>
        <v>4.3920200000000005</v>
      </c>
      <c r="L166" s="635">
        <f t="shared" si="45"/>
        <v>5.1334999999999997</v>
      </c>
      <c r="M166" s="635">
        <f t="shared" si="46"/>
        <v>5.0331799999999998</v>
      </c>
      <c r="N166" s="635">
        <f t="shared" si="47"/>
        <v>5.1334999999999997</v>
      </c>
      <c r="O166" s="636">
        <f t="shared" si="48"/>
        <v>0.93538206373222987</v>
      </c>
      <c r="P166" s="635">
        <f>IF($O$11,Weather_Site!H164,IF(0.191*(Weather_Site!K164+104)*(Weather_Site!J164+1)^1.5/(3.52*(Weather_Site!J164+1)^1.5+Weather_Site!I164-1)&gt;10, 10,0.191*(Weather_Site!K164+104)*(Weather_Site!J164+1)^1.5/(3.52*(Weather_Site!J164+1)^1.5+Weather_Site!I164-1)))</f>
        <v>9.1</v>
      </c>
      <c r="Q166" s="636">
        <f t="shared" si="49"/>
        <v>0.98627459474380041</v>
      </c>
      <c r="R166" s="636">
        <f t="shared" si="50"/>
        <v>0.92254356583812469</v>
      </c>
      <c r="S166" s="635">
        <f t="shared" si="51"/>
        <v>1</v>
      </c>
      <c r="T166" s="707">
        <f t="shared" si="52"/>
        <v>280.32748783757108</v>
      </c>
      <c r="U166" s="707">
        <f t="shared" si="53"/>
        <v>793.16235643791697</v>
      </c>
      <c r="V166" s="707">
        <f t="shared" si="54"/>
        <v>1411.6036132502475</v>
      </c>
      <c r="W166" s="636">
        <f t="shared" si="55"/>
        <v>1</v>
      </c>
      <c r="X166" s="636">
        <f t="shared" si="56"/>
        <v>7.5941102566581403E-2</v>
      </c>
      <c r="Y166" s="707">
        <f t="shared" si="57"/>
        <v>840.12746735290773</v>
      </c>
      <c r="Z166" s="635">
        <f t="shared" si="58"/>
        <v>4.1900350094449728</v>
      </c>
      <c r="AA166" s="707">
        <f t="shared" si="59"/>
        <v>176.98817463404981</v>
      </c>
      <c r="AB166" s="707">
        <f t="shared" si="60"/>
        <v>9983.5147370437207</v>
      </c>
    </row>
    <row r="167" spans="1:28"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1"/>
        <v>0</v>
      </c>
      <c r="I167" s="27">
        <f t="shared" si="43"/>
        <v>6</v>
      </c>
      <c r="J167" s="739">
        <f>IF(Weather_Site!M165&lt;180,Weather_Site!M165+180,Weather_Site!M165-180)</f>
        <v>297</v>
      </c>
      <c r="K167" s="635">
        <f t="shared" si="44"/>
        <v>4.1711799999999988</v>
      </c>
      <c r="L167" s="635">
        <f t="shared" si="45"/>
        <v>4.8090999999999999</v>
      </c>
      <c r="M167" s="635">
        <f t="shared" si="46"/>
        <v>4.6584199999999996</v>
      </c>
      <c r="N167" s="635">
        <f t="shared" si="47"/>
        <v>4.1711799999999988</v>
      </c>
      <c r="O167" s="636">
        <f t="shared" si="48"/>
        <v>0.99482249195315686</v>
      </c>
      <c r="P167" s="635">
        <f>IF($O$11,Weather_Site!H165,IF(0.191*(Weather_Site!K165+104)*(Weather_Site!J165+1)^1.5/(3.52*(Weather_Site!J165+1)^1.5+Weather_Site!I165-1)&gt;10, 10,0.191*(Weather_Site!K165+104)*(Weather_Site!J165+1)^1.5/(3.52*(Weather_Site!J165+1)^1.5+Weather_Site!I165-1)))</f>
        <v>9.1</v>
      </c>
      <c r="Q167" s="636">
        <f t="shared" si="49"/>
        <v>0.98627459474380041</v>
      </c>
      <c r="R167" s="636">
        <f t="shared" si="50"/>
        <v>0.98116815009311742</v>
      </c>
      <c r="S167" s="635">
        <f t="shared" si="51"/>
        <v>1</v>
      </c>
      <c r="T167" s="707">
        <f t="shared" si="52"/>
        <v>315.87409454179715</v>
      </c>
      <c r="U167" s="707">
        <f t="shared" si="53"/>
        <v>884.33178927838549</v>
      </c>
      <c r="V167" s="707">
        <f t="shared" si="54"/>
        <v>1607.0935494760574</v>
      </c>
      <c r="W167" s="636">
        <f t="shared" si="55"/>
        <v>1</v>
      </c>
      <c r="X167" s="636">
        <f t="shared" si="56"/>
        <v>0.3479015896383657</v>
      </c>
      <c r="Y167" s="707">
        <f t="shared" si="57"/>
        <v>1135.7817545809789</v>
      </c>
      <c r="Z167" s="635">
        <f t="shared" si="58"/>
        <v>5.2106786163990213</v>
      </c>
      <c r="AA167" s="707">
        <f t="shared" si="59"/>
        <v>228.65633648352772</v>
      </c>
      <c r="AB167" s="707">
        <f t="shared" si="60"/>
        <v>13496.873183603966</v>
      </c>
    </row>
    <row r="168" spans="1:28"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1"/>
        <v>0</v>
      </c>
      <c r="I168" s="27">
        <f t="shared" si="43"/>
        <v>6.333333333333333</v>
      </c>
      <c r="J168" s="739">
        <f>IF(Weather_Site!M166&lt;180,Weather_Site!M166+180,Weather_Site!M166-180)</f>
        <v>311</v>
      </c>
      <c r="K168" s="635">
        <f t="shared" si="44"/>
        <v>3.9044799999999995</v>
      </c>
      <c r="L168" s="635">
        <f t="shared" si="45"/>
        <v>4.4260999999999999</v>
      </c>
      <c r="M168" s="635">
        <f t="shared" si="46"/>
        <v>4.2141200000000003</v>
      </c>
      <c r="N168" s="635">
        <f t="shared" si="47"/>
        <v>3.9044799999999995</v>
      </c>
      <c r="O168" s="636">
        <f t="shared" si="48"/>
        <v>1</v>
      </c>
      <c r="P168" s="635">
        <f>IF($O$11,Weather_Site!H166,IF(0.191*(Weather_Site!K166+104)*(Weather_Site!J166+1)^1.5/(3.52*(Weather_Site!J166+1)^1.5+Weather_Site!I166-1)&gt;10, 10,0.191*(Weather_Site!K166+104)*(Weather_Site!J166+1)^1.5/(3.52*(Weather_Site!J166+1)^1.5+Weather_Site!I166-1)))</f>
        <v>9.1</v>
      </c>
      <c r="Q168" s="636">
        <f t="shared" si="49"/>
        <v>0.98627459474380041</v>
      </c>
      <c r="R168" s="636">
        <f t="shared" si="50"/>
        <v>0.98627459474380041</v>
      </c>
      <c r="S168" s="635">
        <f t="shared" si="51"/>
        <v>1</v>
      </c>
      <c r="T168" s="707">
        <f t="shared" si="52"/>
        <v>335.25560425728014</v>
      </c>
      <c r="U168" s="707">
        <f t="shared" si="53"/>
        <v>929.51787818696835</v>
      </c>
      <c r="V168" s="707">
        <f t="shared" si="54"/>
        <v>1722.9319400759405</v>
      </c>
      <c r="W168" s="636">
        <f t="shared" si="55"/>
        <v>1</v>
      </c>
      <c r="X168" s="636">
        <f t="shared" si="56"/>
        <v>0.45116906535443496</v>
      </c>
      <c r="Y168" s="707">
        <f t="shared" si="57"/>
        <v>1287.4817589284817</v>
      </c>
      <c r="Z168" s="635">
        <f t="shared" si="58"/>
        <v>5.7050425510797522</v>
      </c>
      <c r="AA168" s="707">
        <f t="shared" si="59"/>
        <v>248.18447045425273</v>
      </c>
      <c r="AB168" s="707">
        <f t="shared" si="60"/>
        <v>15299.574901933456</v>
      </c>
    </row>
    <row r="169" spans="1:28"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1"/>
        <v>0</v>
      </c>
      <c r="I169" s="27">
        <f t="shared" si="43"/>
        <v>5.666666666666667</v>
      </c>
      <c r="J169" s="739">
        <f>IF(Weather_Site!M167&lt;180,Weather_Site!M167+180,Weather_Site!M167-180)</f>
        <v>356</v>
      </c>
      <c r="K169" s="635">
        <f t="shared" si="44"/>
        <v>3.8101999999999996</v>
      </c>
      <c r="L169" s="635">
        <f t="shared" si="45"/>
        <v>4.2898000000000005</v>
      </c>
      <c r="M169" s="635">
        <f t="shared" si="46"/>
        <v>4.0562000000000005</v>
      </c>
      <c r="N169" s="635">
        <f t="shared" si="47"/>
        <v>3.8101999999999996</v>
      </c>
      <c r="O169" s="636">
        <f t="shared" si="48"/>
        <v>1</v>
      </c>
      <c r="P169" s="635">
        <f>IF($O$11,Weather_Site!H167,IF(0.191*(Weather_Site!K167+104)*(Weather_Site!J167+1)^1.5/(3.52*(Weather_Site!J167+1)^1.5+Weather_Site!I167-1)&gt;10, 10,0.191*(Weather_Site!K167+104)*(Weather_Site!J167+1)^1.5/(3.52*(Weather_Site!J167+1)^1.5+Weather_Site!I167-1)))</f>
        <v>9.1</v>
      </c>
      <c r="Q169" s="636">
        <f t="shared" si="49"/>
        <v>0.98627459474380041</v>
      </c>
      <c r="R169" s="636">
        <f t="shared" si="50"/>
        <v>0.98627459474380041</v>
      </c>
      <c r="S169" s="635">
        <f t="shared" si="51"/>
        <v>1</v>
      </c>
      <c r="T169" s="707">
        <f t="shared" si="52"/>
        <v>299.69303315379796</v>
      </c>
      <c r="U169" s="707">
        <f t="shared" si="53"/>
        <v>847.95549026581955</v>
      </c>
      <c r="V169" s="707">
        <f t="shared" si="54"/>
        <v>1509.1198217099281</v>
      </c>
      <c r="W169" s="636">
        <f t="shared" si="55"/>
        <v>1</v>
      </c>
      <c r="X169" s="636">
        <f t="shared" si="56"/>
        <v>0.31299630063368128</v>
      </c>
      <c r="Y169" s="707">
        <f t="shared" si="57"/>
        <v>1054.8974801187665</v>
      </c>
      <c r="Z169" s="635">
        <f t="shared" si="58"/>
        <v>4.9396604647577655</v>
      </c>
      <c r="AA169" s="707">
        <f t="shared" si="59"/>
        <v>222.23339515437061</v>
      </c>
      <c r="AB169" s="707">
        <f t="shared" si="60"/>
        <v>12535.698388744673</v>
      </c>
    </row>
    <row r="170" spans="1:28"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1"/>
        <v>0</v>
      </c>
      <c r="I170" s="27">
        <f t="shared" si="43"/>
        <v>6</v>
      </c>
      <c r="J170" s="739">
        <f>IF(Weather_Site!M168&lt;180,Weather_Site!M168+180,Weather_Site!M168-180)</f>
        <v>8</v>
      </c>
      <c r="K170" s="635">
        <f t="shared" si="44"/>
        <v>3.6997799999999996</v>
      </c>
      <c r="L170" s="635">
        <f t="shared" si="45"/>
        <v>4.1276000000000002</v>
      </c>
      <c r="M170" s="635">
        <f t="shared" si="46"/>
        <v>3.8688199999999999</v>
      </c>
      <c r="N170" s="635">
        <f t="shared" si="47"/>
        <v>3.6997799999999996</v>
      </c>
      <c r="O170" s="636">
        <f t="shared" si="48"/>
        <v>1</v>
      </c>
      <c r="P170" s="635">
        <f>IF($O$11,Weather_Site!H168,IF(0.191*(Weather_Site!K168+104)*(Weather_Site!J168+1)^1.5/(3.52*(Weather_Site!J168+1)^1.5+Weather_Site!I168-1)&gt;10, 10,0.191*(Weather_Site!K168+104)*(Weather_Site!J168+1)^1.5/(3.52*(Weather_Site!J168+1)^1.5+Weather_Site!I168-1)))</f>
        <v>9.1</v>
      </c>
      <c r="Q170" s="636">
        <f t="shared" si="49"/>
        <v>0.98627459474380041</v>
      </c>
      <c r="R170" s="636">
        <f t="shared" si="50"/>
        <v>0.98627459474380041</v>
      </c>
      <c r="S170" s="635">
        <f t="shared" si="51"/>
        <v>1</v>
      </c>
      <c r="T170" s="707">
        <f t="shared" si="52"/>
        <v>317.51804678403943</v>
      </c>
      <c r="U170" s="707">
        <f t="shared" si="53"/>
        <v>888.93425352914721</v>
      </c>
      <c r="V170" s="707">
        <f t="shared" si="54"/>
        <v>1615.4575941692024</v>
      </c>
      <c r="W170" s="636">
        <f t="shared" si="55"/>
        <v>1</v>
      </c>
      <c r="X170" s="636">
        <f t="shared" si="56"/>
        <v>0.37964664475651944</v>
      </c>
      <c r="Y170" s="707">
        <f t="shared" si="57"/>
        <v>1164.7564021404419</v>
      </c>
      <c r="Z170" s="635">
        <f t="shared" si="58"/>
        <v>5.3064498669642592</v>
      </c>
      <c r="AA170" s="707">
        <f t="shared" si="59"/>
        <v>234.48953175641043</v>
      </c>
      <c r="AB170" s="707">
        <f t="shared" si="60"/>
        <v>13841.188578768915</v>
      </c>
    </row>
    <row r="171" spans="1:28"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1"/>
        <v>0</v>
      </c>
      <c r="I171" s="27">
        <f t="shared" si="43"/>
        <v>5.666666666666667</v>
      </c>
      <c r="J171" s="739">
        <f>IF(Weather_Site!M169&lt;180,Weather_Site!M169+180,Weather_Site!M169-180)</f>
        <v>15</v>
      </c>
      <c r="K171" s="635">
        <f t="shared" si="44"/>
        <v>3.6625799999999993</v>
      </c>
      <c r="L171" s="635">
        <f t="shared" si="45"/>
        <v>4.0769000000000002</v>
      </c>
      <c r="M171" s="635">
        <f t="shared" si="46"/>
        <v>3.8094199999999998</v>
      </c>
      <c r="N171" s="635">
        <f t="shared" si="47"/>
        <v>3.6625799999999993</v>
      </c>
      <c r="O171" s="636">
        <f t="shared" si="48"/>
        <v>1</v>
      </c>
      <c r="P171" s="635">
        <f>IF($O$11,Weather_Site!H169,IF(0.191*(Weather_Site!K169+104)*(Weather_Site!J169+1)^1.5/(3.52*(Weather_Site!J169+1)^1.5+Weather_Site!I169-1)&gt;10, 10,0.191*(Weather_Site!K169+104)*(Weather_Site!J169+1)^1.5/(3.52*(Weather_Site!J169+1)^1.5+Weather_Site!I169-1)))</f>
        <v>9.1</v>
      </c>
      <c r="Q171" s="636">
        <f t="shared" si="49"/>
        <v>0.98627459474380041</v>
      </c>
      <c r="R171" s="636">
        <f t="shared" si="50"/>
        <v>0.98627459474380041</v>
      </c>
      <c r="S171" s="635">
        <f t="shared" si="51"/>
        <v>1</v>
      </c>
      <c r="T171" s="707">
        <f t="shared" si="52"/>
        <v>299.69303315379796</v>
      </c>
      <c r="U171" s="707">
        <f t="shared" si="53"/>
        <v>847.95549026581955</v>
      </c>
      <c r="V171" s="707">
        <f t="shared" si="54"/>
        <v>1509.1198217099281</v>
      </c>
      <c r="W171" s="636">
        <f t="shared" si="55"/>
        <v>1</v>
      </c>
      <c r="X171" s="636">
        <f t="shared" si="56"/>
        <v>0.31299630063368128</v>
      </c>
      <c r="Y171" s="707">
        <f t="shared" si="57"/>
        <v>1054.8974801187665</v>
      </c>
      <c r="Z171" s="635">
        <f t="shared" si="58"/>
        <v>4.9396604647577655</v>
      </c>
      <c r="AA171" s="707">
        <f t="shared" si="59"/>
        <v>222.23339515437061</v>
      </c>
      <c r="AB171" s="707">
        <f t="shared" si="60"/>
        <v>12535.698388744673</v>
      </c>
    </row>
    <row r="172" spans="1:28"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1"/>
        <v>0</v>
      </c>
      <c r="I172" s="27">
        <f t="shared" si="43"/>
        <v>6.333333333333333</v>
      </c>
      <c r="J172" s="739">
        <f>IF(Weather_Site!M170&lt;180,Weather_Site!M170+180,Weather_Site!M170-180)</f>
        <v>11</v>
      </c>
      <c r="K172" s="635">
        <f t="shared" si="44"/>
        <v>3.7395399999999999</v>
      </c>
      <c r="L172" s="635">
        <f t="shared" si="45"/>
        <v>4.1974000000000009</v>
      </c>
      <c r="M172" s="635">
        <f t="shared" si="46"/>
        <v>3.9470600000000005</v>
      </c>
      <c r="N172" s="635">
        <f t="shared" si="47"/>
        <v>4.1974000000000009</v>
      </c>
      <c r="O172" s="636">
        <f t="shared" si="48"/>
        <v>0.99345488319154318</v>
      </c>
      <c r="P172" s="635">
        <f>IF($O$11,Weather_Site!H170,IF(0.191*(Weather_Site!K170+104)*(Weather_Site!J170+1)^1.5/(3.52*(Weather_Site!J170+1)^1.5+Weather_Site!I170-1)&gt;10, 10,0.191*(Weather_Site!K170+104)*(Weather_Site!J170+1)^1.5/(3.52*(Weather_Site!J170+1)^1.5+Weather_Site!I170-1)))</f>
        <v>9.1</v>
      </c>
      <c r="Q172" s="636">
        <f t="shared" si="49"/>
        <v>0.98627459474380041</v>
      </c>
      <c r="R172" s="636">
        <f t="shared" si="50"/>
        <v>0.97981931231598884</v>
      </c>
      <c r="S172" s="635">
        <f t="shared" si="51"/>
        <v>1</v>
      </c>
      <c r="T172" s="707">
        <f t="shared" si="52"/>
        <v>333.06131716672644</v>
      </c>
      <c r="U172" s="707">
        <f t="shared" si="53"/>
        <v>923.43407509868564</v>
      </c>
      <c r="V172" s="707">
        <f t="shared" si="54"/>
        <v>1711.6551492751223</v>
      </c>
      <c r="W172" s="636">
        <f t="shared" si="55"/>
        <v>1</v>
      </c>
      <c r="X172" s="636">
        <f t="shared" si="56"/>
        <v>0.40868028513596205</v>
      </c>
      <c r="Y172" s="707">
        <f t="shared" si="57"/>
        <v>1245.5644884432859</v>
      </c>
      <c r="Z172" s="635">
        <f t="shared" si="58"/>
        <v>5.5701367724237061</v>
      </c>
      <c r="AA172" s="707">
        <f t="shared" si="59"/>
        <v>240.10418853483031</v>
      </c>
      <c r="AB172" s="707">
        <f t="shared" si="60"/>
        <v>14801.458004334379</v>
      </c>
    </row>
    <row r="173" spans="1:28"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1"/>
        <v>0</v>
      </c>
      <c r="I173" s="27">
        <f t="shared" si="43"/>
        <v>5.333333333333333</v>
      </c>
      <c r="J173" s="739">
        <f>IF(Weather_Site!M171&lt;180,Weather_Site!M171+180,Weather_Site!M171-180)</f>
        <v>5</v>
      </c>
      <c r="K173" s="635">
        <f t="shared" si="44"/>
        <v>3.8412999999999999</v>
      </c>
      <c r="L173" s="635">
        <f t="shared" si="45"/>
        <v>4.3517000000000001</v>
      </c>
      <c r="M173" s="635">
        <f t="shared" si="46"/>
        <v>4.1242999999999999</v>
      </c>
      <c r="N173" s="635">
        <f t="shared" si="47"/>
        <v>4.3517000000000001</v>
      </c>
      <c r="O173" s="636">
        <f t="shared" si="48"/>
        <v>0.98509396118782522</v>
      </c>
      <c r="P173" s="635">
        <f>IF($O$11,Weather_Site!H171,IF(0.191*(Weather_Site!K171+104)*(Weather_Site!J171+1)^1.5/(3.52*(Weather_Site!J171+1)^1.5+Weather_Site!I171-1)&gt;10, 10,0.191*(Weather_Site!K171+104)*(Weather_Site!J171+1)^1.5/(3.52*(Weather_Site!J171+1)^1.5+Weather_Site!I171-1)))</f>
        <v>9.1</v>
      </c>
      <c r="Q173" s="636">
        <f t="shared" si="49"/>
        <v>0.98627459474380041</v>
      </c>
      <c r="R173" s="636">
        <f t="shared" si="50"/>
        <v>0.97157314735508737</v>
      </c>
      <c r="S173" s="635">
        <f t="shared" si="51"/>
        <v>1</v>
      </c>
      <c r="T173" s="707">
        <f t="shared" si="52"/>
        <v>277.5736955639756</v>
      </c>
      <c r="U173" s="707">
        <f t="shared" si="53"/>
        <v>794.53159492588566</v>
      </c>
      <c r="V173" s="707">
        <f t="shared" si="54"/>
        <v>1383.0447807356202</v>
      </c>
      <c r="W173" s="636">
        <f t="shared" si="55"/>
        <v>1</v>
      </c>
      <c r="X173" s="636">
        <f t="shared" si="56"/>
        <v>0.18598296922943727</v>
      </c>
      <c r="Y173" s="707">
        <f t="shared" si="57"/>
        <v>903.98502465345564</v>
      </c>
      <c r="Z173" s="635">
        <f t="shared" si="58"/>
        <v>4.417948585519377</v>
      </c>
      <c r="AA173" s="707">
        <f t="shared" si="59"/>
        <v>199.71390611820772</v>
      </c>
      <c r="AB173" s="707">
        <f t="shared" si="60"/>
        <v>10742.355376298565</v>
      </c>
    </row>
    <row r="174" spans="1:28"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1"/>
        <v>0</v>
      </c>
      <c r="I174" s="27">
        <f t="shared" si="43"/>
        <v>5</v>
      </c>
      <c r="J174" s="739">
        <f>IF(Weather_Site!M172&lt;180,Weather_Site!M172+180,Weather_Site!M172-180)</f>
        <v>355</v>
      </c>
      <c r="K174" s="635">
        <f t="shared" si="44"/>
        <v>4.1192200000000003</v>
      </c>
      <c r="L174" s="635">
        <f t="shared" si="45"/>
        <v>4.7617000000000003</v>
      </c>
      <c r="M174" s="635">
        <f t="shared" si="46"/>
        <v>4.5975800000000007</v>
      </c>
      <c r="N174" s="635">
        <f t="shared" si="47"/>
        <v>4.5975800000000007</v>
      </c>
      <c r="O174" s="636">
        <f t="shared" si="48"/>
        <v>0.97071828363108825</v>
      </c>
      <c r="P174" s="635">
        <f>IF($O$11,Weather_Site!H172,IF(0.191*(Weather_Site!K172+104)*(Weather_Site!J172+1)^1.5/(3.52*(Weather_Site!J172+1)^1.5+Weather_Site!I172-1)&gt;10, 10,0.191*(Weather_Site!K172+104)*(Weather_Site!J172+1)^1.5/(3.52*(Weather_Site!J172+1)^1.5+Weather_Site!I172-1)))</f>
        <v>9.1</v>
      </c>
      <c r="Q174" s="636">
        <f t="shared" si="49"/>
        <v>0.98627459474380041</v>
      </c>
      <c r="R174" s="636">
        <f t="shared" si="50"/>
        <v>0.95739478179864912</v>
      </c>
      <c r="S174" s="635">
        <f t="shared" si="51"/>
        <v>1</v>
      </c>
      <c r="T174" s="707">
        <f t="shared" si="52"/>
        <v>256.02948290342727</v>
      </c>
      <c r="U174" s="707">
        <f t="shared" si="53"/>
        <v>742.3072255546582</v>
      </c>
      <c r="V174" s="707">
        <f t="shared" si="54"/>
        <v>1262.0069225407467</v>
      </c>
      <c r="W174" s="636">
        <f t="shared" si="55"/>
        <v>1</v>
      </c>
      <c r="X174" s="636">
        <f t="shared" si="56"/>
        <v>0.10410277490827279</v>
      </c>
      <c r="Y174" s="707">
        <f t="shared" si="57"/>
        <v>796.40940612989857</v>
      </c>
      <c r="Z174" s="635">
        <f t="shared" si="58"/>
        <v>4.0312310177999038</v>
      </c>
      <c r="AA174" s="707">
        <f t="shared" si="59"/>
        <v>184.9534152647233</v>
      </c>
      <c r="AB174" s="707">
        <f t="shared" si="60"/>
        <v>9463.9984428436292</v>
      </c>
    </row>
    <row r="175" spans="1:28"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1"/>
        <v>0</v>
      </c>
      <c r="I175" s="27">
        <f t="shared" si="43"/>
        <v>4.666666666666667</v>
      </c>
      <c r="J175" s="739">
        <f>IF(Weather_Site!M173&lt;180,Weather_Site!M173+180,Weather_Site!M173-180)</f>
        <v>355</v>
      </c>
      <c r="K175" s="635">
        <f t="shared" si="44"/>
        <v>4.6142399999999997</v>
      </c>
      <c r="L175" s="635">
        <f t="shared" si="45"/>
        <v>5.4871000000000008</v>
      </c>
      <c r="M175" s="635">
        <f t="shared" si="46"/>
        <v>5.4359599999999997</v>
      </c>
      <c r="N175" s="635">
        <f t="shared" si="47"/>
        <v>5.4359599999999997</v>
      </c>
      <c r="O175" s="636">
        <f t="shared" si="48"/>
        <v>0.9133398929331189</v>
      </c>
      <c r="P175" s="635">
        <f>IF($O$11,Weather_Site!H173,IF(0.191*(Weather_Site!K173+104)*(Weather_Site!J173+1)^1.5/(3.52*(Weather_Site!J173+1)^1.5+Weather_Site!I173-1)&gt;10, 10,0.191*(Weather_Site!K173+104)*(Weather_Site!J173+1)^1.5/(3.52*(Weather_Site!J173+1)^1.5+Weather_Site!I173-1)))</f>
        <v>9.1</v>
      </c>
      <c r="Q175" s="636">
        <f t="shared" si="49"/>
        <v>0.98627459474380041</v>
      </c>
      <c r="R175" s="636">
        <f t="shared" si="50"/>
        <v>0.90080393276595794</v>
      </c>
      <c r="S175" s="635">
        <f t="shared" si="51"/>
        <v>1</v>
      </c>
      <c r="T175" s="707">
        <f t="shared" si="52"/>
        <v>224.33473798293861</v>
      </c>
      <c r="U175" s="707">
        <f t="shared" si="53"/>
        <v>659.75481970428007</v>
      </c>
      <c r="V175" s="707">
        <f t="shared" si="54"/>
        <v>1093.7205342488096</v>
      </c>
      <c r="W175" s="636">
        <f t="shared" si="55"/>
        <v>1</v>
      </c>
      <c r="X175" s="636">
        <f t="shared" si="56"/>
        <v>1.8554109294041457E-2</v>
      </c>
      <c r="Y175" s="707">
        <f t="shared" si="57"/>
        <v>667.80666700180609</v>
      </c>
      <c r="Z175" s="635">
        <f t="shared" si="58"/>
        <v>3.5492662251255083</v>
      </c>
      <c r="AA175" s="707">
        <f t="shared" si="59"/>
        <v>163.45375636425644</v>
      </c>
      <c r="AB175" s="707">
        <f t="shared" si="60"/>
        <v>7935.7692262047958</v>
      </c>
    </row>
    <row r="176" spans="1:28"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1"/>
        <v>0</v>
      </c>
      <c r="I176" s="27">
        <f t="shared" si="43"/>
        <v>4.666666666666667</v>
      </c>
      <c r="J176" s="739">
        <f>IF(Weather_Site!M174&lt;180,Weather_Site!M174+180,Weather_Site!M174-180)</f>
        <v>335</v>
      </c>
      <c r="K176" s="635">
        <f t="shared" si="44"/>
        <v>5.1551199999999993</v>
      </c>
      <c r="L176" s="635">
        <f t="shared" si="45"/>
        <v>6.2711000000000006</v>
      </c>
      <c r="M176" s="635">
        <f t="shared" si="46"/>
        <v>6.3438799999999995</v>
      </c>
      <c r="N176" s="635">
        <f t="shared" si="47"/>
        <v>6.3438799999999995</v>
      </c>
      <c r="O176" s="636">
        <f t="shared" si="48"/>
        <v>0.8402011486895129</v>
      </c>
      <c r="P176" s="635">
        <f>IF($O$11,Weather_Site!H174,IF(0.191*(Weather_Site!K174+104)*(Weather_Site!J174+1)^1.5/(3.52*(Weather_Site!J174+1)^1.5+Weather_Site!I174-1)&gt;10, 10,0.191*(Weather_Site!K174+104)*(Weather_Site!J174+1)^1.5/(3.52*(Weather_Site!J174+1)^1.5+Weather_Site!I174-1)))</f>
        <v>9.1</v>
      </c>
      <c r="Q176" s="636">
        <f t="shared" si="49"/>
        <v>0.98627459474380041</v>
      </c>
      <c r="R176" s="636">
        <f t="shared" si="50"/>
        <v>0.82866904742702496</v>
      </c>
      <c r="S176" s="635">
        <f t="shared" si="51"/>
        <v>1</v>
      </c>
      <c r="T176" s="707">
        <f t="shared" si="52"/>
        <v>206.37038412820996</v>
      </c>
      <c r="U176" s="707">
        <f t="shared" si="53"/>
        <v>606.92274766275898</v>
      </c>
      <c r="V176" s="707">
        <f t="shared" si="54"/>
        <v>1006.1372073325709</v>
      </c>
      <c r="W176" s="636">
        <f t="shared" si="55"/>
        <v>1</v>
      </c>
      <c r="X176" s="636">
        <f t="shared" si="56"/>
        <v>2.7133743173793023E-3</v>
      </c>
      <c r="Y176" s="707">
        <f t="shared" si="57"/>
        <v>608.00596592475358</v>
      </c>
      <c r="Z176" s="635">
        <f t="shared" si="58"/>
        <v>3.3165110801796343</v>
      </c>
      <c r="AA176" s="707">
        <f t="shared" si="59"/>
        <v>148.81681171058193</v>
      </c>
      <c r="AB176" s="707">
        <f t="shared" si="60"/>
        <v>7225.1375617391559</v>
      </c>
    </row>
    <row r="177" spans="1:28"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1"/>
        <v>0</v>
      </c>
      <c r="I177" s="27">
        <f t="shared" si="43"/>
        <v>5</v>
      </c>
      <c r="J177" s="739">
        <f>IF(Weather_Site!M175&lt;180,Weather_Site!M175+180,Weather_Site!M175-180)</f>
        <v>332</v>
      </c>
      <c r="K177" s="635">
        <f t="shared" si="44"/>
        <v>5.6581099999999998</v>
      </c>
      <c r="L177" s="635">
        <f t="shared" si="45"/>
        <v>6.9897999999999998</v>
      </c>
      <c r="M177" s="635">
        <f t="shared" si="46"/>
        <v>7.1783900000000003</v>
      </c>
      <c r="N177" s="635">
        <f t="shared" si="47"/>
        <v>7.1783900000000003</v>
      </c>
      <c r="O177" s="636">
        <f t="shared" si="48"/>
        <v>0.76677587506233624</v>
      </c>
      <c r="P177" s="635">
        <f>IF($O$11,Weather_Site!H175,IF(0.191*(Weather_Site!K175+104)*(Weather_Site!J175+1)^1.5/(3.52*(Weather_Site!J175+1)^1.5+Weather_Site!I175-1)&gt;10, 10,0.191*(Weather_Site!K175+104)*(Weather_Site!J175+1)^1.5/(3.52*(Weather_Site!J175+1)^1.5+Weather_Site!I175-1)))</f>
        <v>9.1</v>
      </c>
      <c r="Q177" s="636">
        <f t="shared" si="49"/>
        <v>0.98627459474380041</v>
      </c>
      <c r="R177" s="636">
        <f t="shared" si="50"/>
        <v>0.75625156543642857</v>
      </c>
      <c r="S177" s="635">
        <f t="shared" si="51"/>
        <v>1</v>
      </c>
      <c r="T177" s="707">
        <f t="shared" si="52"/>
        <v>202.23913992913032</v>
      </c>
      <c r="U177" s="707">
        <f t="shared" si="53"/>
        <v>586.35268546778548</v>
      </c>
      <c r="V177" s="707">
        <f t="shared" si="54"/>
        <v>996.86642219841281</v>
      </c>
      <c r="W177" s="636">
        <f t="shared" si="55"/>
        <v>1</v>
      </c>
      <c r="X177" s="636">
        <f t="shared" si="56"/>
        <v>5.217244192462678E-4</v>
      </c>
      <c r="Y177" s="707">
        <f t="shared" si="57"/>
        <v>586.56686050867393</v>
      </c>
      <c r="Z177" s="635">
        <f t="shared" si="58"/>
        <v>3.2315408688327882</v>
      </c>
      <c r="AA177" s="707">
        <f t="shared" si="59"/>
        <v>136.22082222681698</v>
      </c>
      <c r="AB177" s="707">
        <f t="shared" si="60"/>
        <v>6970.3695257114086</v>
      </c>
    </row>
    <row r="178" spans="1:28"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1"/>
        <v>0</v>
      </c>
      <c r="I178" s="27">
        <f t="shared" si="43"/>
        <v>4.666666666666667</v>
      </c>
      <c r="J178" s="739">
        <f>IF(Weather_Site!M176&lt;180,Weather_Site!M176+180,Weather_Site!M176-180)</f>
        <v>340</v>
      </c>
      <c r="K178" s="635">
        <f t="shared" si="44"/>
        <v>6.2249699999999999</v>
      </c>
      <c r="L178" s="635">
        <f t="shared" si="45"/>
        <v>7.7975000000000012</v>
      </c>
      <c r="M178" s="635">
        <f t="shared" si="46"/>
        <v>8.1167300000000004</v>
      </c>
      <c r="N178" s="635">
        <f t="shared" si="47"/>
        <v>8.1167300000000004</v>
      </c>
      <c r="O178" s="636">
        <f t="shared" si="48"/>
        <v>0.68119911546405676</v>
      </c>
      <c r="P178" s="635">
        <f>IF($O$11,Weather_Site!H176,IF(0.191*(Weather_Site!K176+104)*(Weather_Site!J176+1)^1.5/(3.52*(Weather_Site!J176+1)^1.5+Weather_Site!I176-1)&gt;10, 10,0.191*(Weather_Site!K176+104)*(Weather_Site!J176+1)^1.5/(3.52*(Weather_Site!J176+1)^1.5+Weather_Site!I176-1)))</f>
        <v>9.1</v>
      </c>
      <c r="Q178" s="636">
        <f t="shared" si="49"/>
        <v>0.98627459474380041</v>
      </c>
      <c r="R178" s="636">
        <f t="shared" si="50"/>
        <v>0.67184938154414786</v>
      </c>
      <c r="S178" s="635">
        <f t="shared" si="51"/>
        <v>1</v>
      </c>
      <c r="T178" s="707">
        <f t="shared" si="52"/>
        <v>167.31627104459457</v>
      </c>
      <c r="U178" s="707">
        <f t="shared" si="53"/>
        <v>492.06697647073406</v>
      </c>
      <c r="V178" s="707">
        <f t="shared" si="54"/>
        <v>815.73296672996821</v>
      </c>
      <c r="W178" s="636">
        <f t="shared" si="55"/>
        <v>1</v>
      </c>
      <c r="X178" s="636">
        <f t="shared" si="56"/>
        <v>4.0219321232021651E-5</v>
      </c>
      <c r="Y178" s="707">
        <f t="shared" si="57"/>
        <v>492.0799940971682</v>
      </c>
      <c r="Z178" s="635">
        <f t="shared" si="58"/>
        <v>2.8461507623931457</v>
      </c>
      <c r="AA178" s="707">
        <f t="shared" si="59"/>
        <v>120.44252841618567</v>
      </c>
      <c r="AB178" s="707">
        <f t="shared" si="60"/>
        <v>5847.5505965213488</v>
      </c>
    </row>
    <row r="179" spans="1:28"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1"/>
        <v>0</v>
      </c>
      <c r="I179" s="27">
        <f t="shared" si="43"/>
        <v>5</v>
      </c>
      <c r="J179" s="739">
        <f>IF(Weather_Site!M177&lt;180,Weather_Site!M177+180,Weather_Site!M177-180)</f>
        <v>10</v>
      </c>
      <c r="K179" s="635">
        <f t="shared" si="44"/>
        <v>6.6783599999999996</v>
      </c>
      <c r="L179" s="635">
        <f t="shared" si="45"/>
        <v>8.4486000000000008</v>
      </c>
      <c r="M179" s="635">
        <f t="shared" si="46"/>
        <v>8.8720400000000001</v>
      </c>
      <c r="N179" s="635">
        <f t="shared" si="47"/>
        <v>8.8720400000000001</v>
      </c>
      <c r="O179" s="636">
        <f t="shared" si="48"/>
        <v>0.61256725255012257</v>
      </c>
      <c r="P179" s="635">
        <f>IF($O$11,Weather_Site!H177,IF(0.191*(Weather_Site!K177+104)*(Weather_Site!J177+1)^1.5/(3.52*(Weather_Site!J177+1)^1.5+Weather_Site!I177-1)&gt;10, 10,0.191*(Weather_Site!K177+104)*(Weather_Site!J177+1)^1.5/(3.52*(Weather_Site!J177+1)^1.5+Weather_Site!I177-1)))</f>
        <v>9.1</v>
      </c>
      <c r="Q179" s="636">
        <f t="shared" si="49"/>
        <v>0.98627459474380041</v>
      </c>
      <c r="R179" s="636">
        <f t="shared" si="50"/>
        <v>0.60415951876219542</v>
      </c>
      <c r="S179" s="635">
        <f t="shared" si="51"/>
        <v>1</v>
      </c>
      <c r="T179" s="707">
        <f t="shared" si="52"/>
        <v>161.56621293597132</v>
      </c>
      <c r="U179" s="707">
        <f t="shared" si="53"/>
        <v>468.4295179907524</v>
      </c>
      <c r="V179" s="707">
        <f t="shared" si="54"/>
        <v>796.38359169282512</v>
      </c>
      <c r="W179" s="636">
        <f t="shared" si="55"/>
        <v>1</v>
      </c>
      <c r="X179" s="636">
        <f t="shared" si="56"/>
        <v>8.7619826342197589E-6</v>
      </c>
      <c r="Y179" s="707">
        <f t="shared" si="57"/>
        <v>468.432391518651</v>
      </c>
      <c r="Z179" s="635">
        <f t="shared" si="58"/>
        <v>2.7465898179121191</v>
      </c>
      <c r="AA179" s="707">
        <f t="shared" si="59"/>
        <v>108.78597109118694</v>
      </c>
      <c r="AB179" s="707">
        <f t="shared" si="60"/>
        <v>5566.5382525466357</v>
      </c>
    </row>
    <row r="180" spans="1:28" x14ac:dyDescent="0.25">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5">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5">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5">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5">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5">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5">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5">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5">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5">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5">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5">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5">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5">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5">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5">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5">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5">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5">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5">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5">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5">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5">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5">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5">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5">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5">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5">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5">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5">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5">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5">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5">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5">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5">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5">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5">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5">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5">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5">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5">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5">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5">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5">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5">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5">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5">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5">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5">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5">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5">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5">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5">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5">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5">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5">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5">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5">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5">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5">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5">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5">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5">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5">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5">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5">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5">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5">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5">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5">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5">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5">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5">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5">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5">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5">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5">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5">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5">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5">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5">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5">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5">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5">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5">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5">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5">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5">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5">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5">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5">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5">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5">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5">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5">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5">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5">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5">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5">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5">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5">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5">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5">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5">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5">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5">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5">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5">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5">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5">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5">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5">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5">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5">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5">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5">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5">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5">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5">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5">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5">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5">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5">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5">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5">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5">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5">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5">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5">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5">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5">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5">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5">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5">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5">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5">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5">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5">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5">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5">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5">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5">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5">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5">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5">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5">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5">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5">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5">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5">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5">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5">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5">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5">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5">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5">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5">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5">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5">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5">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5">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5">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5">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5">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5">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5">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5">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5">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5">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5">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5">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5">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5">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5">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5">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5">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5">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5">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5">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5">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89V60LoEtuAu8Yha0eQydG8kOGHK10BpRXz5MLq/cZ7tnPNQJ+VfDfUCrUo1gAeBWed+mhdq/OqlVN657yQUiw==" saltValue="Kuz/f/ireC+wE06g4KQYJg==" spinCount="100000"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1119</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1088</v>
      </c>
      <c r="N3" s="634"/>
      <c r="R3" s="677" t="s">
        <v>1110</v>
      </c>
      <c r="S3" s="634"/>
    </row>
    <row r="4" spans="1:30" x14ac:dyDescent="0.25">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5">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5">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3">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8.6999999999999993</v>
      </c>
      <c r="Q14" s="744">
        <f t="shared" ref="Q14" si="1">P14*(MAX($S$9+$S$10,0)/10)</f>
        <v>2.5922333471999974</v>
      </c>
      <c r="R14" s="636">
        <f>1.008/(1+104.9*EXP(-0.9306*Q14))</f>
        <v>9.6926101633586892E-2</v>
      </c>
      <c r="S14" s="636">
        <f t="shared" ref="S14" si="2">O14*R14</f>
        <v>7.8304008510965958E-2</v>
      </c>
      <c r="T14" s="635">
        <f t="shared" ref="T14" si="3">MIN(IF(H14&gt;0,2^(H14/10),(2^(-H14/10))/(2*(2^(-H14/10))-1)),4)</f>
        <v>1</v>
      </c>
      <c r="U14" s="706">
        <f t="shared" ref="U14" si="4">IF(I14&gt;2,(0.03+0.05024*(I14-1)^0.92628*(($E$6+$E$7)/10)^0.79928)*1000*S14*T14,0.03*S14*T14)</f>
        <v>18.789360045193302</v>
      </c>
      <c r="V14" s="707">
        <f t="shared" ref="V14" si="5">(0.19591*(I14-1)^0.82569*(($E$6+$E$7)/10)^0.46722)*$C$10^0.495*1000*S14*T14</f>
        <v>62.406198338638454</v>
      </c>
      <c r="W14" s="707">
        <f t="shared" ref="W14" si="6">(0.05235*(G14)^1.19128)*1000*S14*T14</f>
        <v>111.4665947454275</v>
      </c>
      <c r="X14" s="708">
        <f>IF((E$6+E$7)&lt;1,0,1/(1+EXP(-(-23.9315+1.7033*I14+12.0822*S14+9.5236*($E$6+$E$7)))))</f>
        <v>1</v>
      </c>
      <c r="Y14" s="636">
        <f t="shared" ref="Y14" si="7">IF(V14&lt;300,0,1/(1+EXP(-(-32.3074+0.2951*G14+26.8734*S14))))</f>
        <v>0</v>
      </c>
      <c r="Z14" s="709">
        <f>IF(X14&lt;0.5,(U14*(1-X14)+V14*X14),(U14*(1-X14)+V14*X14*(1-Y14)+W14*Y14))</f>
        <v>62.406198338638454</v>
      </c>
      <c r="AA14" s="635">
        <f>0.0193*Z14^0.723*EXP(0.64*$C$10)</f>
        <v>1.3784908650771286</v>
      </c>
      <c r="AB14" s="709">
        <f t="shared" ref="AB14" si="8">(1/(0.2204*G14+1))*Z14</f>
        <v>13.787159406733483</v>
      </c>
      <c r="AC14" s="638">
        <f>18600*Z14/3600*F$11/10</f>
        <v>1031.7824791988223</v>
      </c>
    </row>
    <row r="15" spans="1:3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9">C$4</f>
        <v>0</v>
      </c>
      <c r="I15" s="703">
        <f t="shared" ref="I15:I78" si="10">G15/$O$10</f>
        <v>2.6</v>
      </c>
      <c r="J15" s="743">
        <f>IF(Weather_Site!M13&lt;180,Weather_Site!M13+180,Weather_Site!M13-180)</f>
        <v>132</v>
      </c>
      <c r="K15" s="635">
        <f t="shared" ref="K15:K78" si="11">2.76+0.124*E15-0.0187*D15</f>
        <v>5.3442799999999995</v>
      </c>
      <c r="L15" s="635">
        <f t="shared" ref="L15:L78" si="12">3.6+0.169*E15-0.045*D15</f>
        <v>6.6615999999999991</v>
      </c>
      <c r="M15" s="635">
        <f t="shared" ref="M15:M78" si="13">3.08+0.198*E15-0.0483*D15</f>
        <v>6.7713199999999993</v>
      </c>
      <c r="N15" s="704">
        <f t="shared" ref="N15:N78" si="14">IF(AND(OR(MONTH(B15)&gt;10,MONTH(B15)&lt;3),AND(HOUR(C15)&gt;=13,HOUR(C15)&lt;=17)),K15,IF(OR(HOUR(C15)&lt;6,HOUR(C15)&gt;=20),M15,L15))</f>
        <v>6.7713199999999993</v>
      </c>
      <c r="O15" s="636">
        <f t="shared" ref="O15:O78" si="15">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8.6999999999999993</v>
      </c>
      <c r="Q15" s="744">
        <f t="shared" ref="Q15:Q78" si="16">P15*(MAX($S$9+$S$10,0)/10)</f>
        <v>2.5922333471999974</v>
      </c>
      <c r="R15" s="636">
        <f t="shared" ref="R15:R78" si="17">1.008/(1+104.9*EXP(-0.9306*Q15))</f>
        <v>9.6926101633586892E-2</v>
      </c>
      <c r="S15" s="636">
        <f t="shared" ref="S15:S78" si="18">O15*R15</f>
        <v>7.7842420571433799E-2</v>
      </c>
      <c r="T15" s="635">
        <f t="shared" ref="T15:T78" si="19">MIN(IF(H15&gt;0,2^(H15/10),(2^(-H15/10))/(2*(2^(-H15/10))-1)),4)</f>
        <v>1</v>
      </c>
      <c r="U15" s="706">
        <f t="shared" ref="U15:U78" si="20">IF(I15&gt;2,(0.03+0.05024*(I15-1)^0.92628*(($E$6+$E$7)/10)^0.79928)*1000*S15*T15,0.03*S15*T15)</f>
        <v>14.503672177752607</v>
      </c>
      <c r="V15" s="707">
        <f t="shared" ref="V15:V78" si="21">(0.19591*(I15-1)^0.82569*(($E$6+$E$7)/10)^0.46722)*$C$10^0.495*1000*S15*T15</f>
        <v>47.694127625686107</v>
      </c>
      <c r="W15" s="707">
        <f t="shared" ref="W15:W78" si="22">(0.05235*(G15)^1.19128)*1000*S15*T15</f>
        <v>86.526961848502822</v>
      </c>
      <c r="X15" s="708">
        <f t="shared" ref="X15:X78" si="23">IF((E$6+E$7)&lt;1,0,1/(1+EXP(-(-23.9315+1.7033*I15+12.0822*S15+9.5236*($E$6+$E$7)))))</f>
        <v>1</v>
      </c>
      <c r="Y15" s="636">
        <f t="shared" ref="Y15:Y78" si="24">IF(V15&lt;300,0,1/(1+EXP(-(-32.3074+0.2951*G15+26.8734*S15))))</f>
        <v>0</v>
      </c>
      <c r="Z15" s="709">
        <f t="shared" ref="Z15:Z78" si="25">IF(X15&lt;0.5,(U15*(1-X15)+V15*X15),(U15*(1-X15)+V15*X15*(1-Y15)+W15*Y15))</f>
        <v>47.694127625686107</v>
      </c>
      <c r="AA15" s="635">
        <f t="shared" ref="AA15:AA78" si="26">0.0193*Z15^0.723*EXP(0.64*$C$10)</f>
        <v>1.1349699822001236</v>
      </c>
      <c r="AB15" s="709">
        <f t="shared" ref="AB15:AB78" si="27">(1/(0.2204*G15+1))*Z15</f>
        <v>12.339368629226458</v>
      </c>
      <c r="AC15" s="638">
        <f t="shared" ref="AC15:AC19" si="28">18600*Z15/3600*F$11/10</f>
        <v>788.54291007801032</v>
      </c>
    </row>
    <row r="16" spans="1:3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9"/>
        <v>0</v>
      </c>
      <c r="I16" s="703">
        <f t="shared" si="10"/>
        <v>3.2</v>
      </c>
      <c r="J16" s="743">
        <f>IF(Weather_Site!M14&lt;180,Weather_Site!M14+180,Weather_Site!M14-180)</f>
        <v>156</v>
      </c>
      <c r="K16" s="635">
        <f t="shared" si="11"/>
        <v>5.7207100000000004</v>
      </c>
      <c r="L16" s="635">
        <f t="shared" si="12"/>
        <v>7.1922000000000015</v>
      </c>
      <c r="M16" s="635">
        <f t="shared" si="13"/>
        <v>7.3889899999999997</v>
      </c>
      <c r="N16" s="704">
        <f t="shared" si="14"/>
        <v>7.1922000000000015</v>
      </c>
      <c r="O16" s="636">
        <f t="shared" si="15"/>
        <v>0.74771137115488462</v>
      </c>
      <c r="P16" s="705">
        <f>IF($O$11,Weather_Site!H14,IF(0.191*(Weather_Site!K14+104)*(Weather_Site!J14+1)^1.5/(3.52*(Weather_Site!J14+1)^1.5+Weather_Site!I14-1)&gt;10, 10,0.191*(Weather_Site!K14+104)*(Weather_Site!J14+1)^1.5/(3.52*(Weather_Site!J14+1)^1.5+Weather_Site!I14-1)))</f>
        <v>8.6999999999999993</v>
      </c>
      <c r="Q16" s="744">
        <f t="shared" si="16"/>
        <v>2.5922333471999974</v>
      </c>
      <c r="R16" s="636">
        <f t="shared" si="17"/>
        <v>9.6926101633586892E-2</v>
      </c>
      <c r="S16" s="636">
        <f t="shared" si="18"/>
        <v>7.247274835314696E-2</v>
      </c>
      <c r="T16" s="635">
        <f t="shared" si="19"/>
        <v>1</v>
      </c>
      <c r="U16" s="706">
        <f t="shared" si="20"/>
        <v>17.390125846255607</v>
      </c>
      <c r="V16" s="707">
        <f t="shared" si="21"/>
        <v>57.758840114032495</v>
      </c>
      <c r="W16" s="707">
        <f t="shared" si="22"/>
        <v>103.16573345841253</v>
      </c>
      <c r="X16" s="708">
        <f t="shared" si="23"/>
        <v>1</v>
      </c>
      <c r="Y16" s="636">
        <f t="shared" si="24"/>
        <v>0</v>
      </c>
      <c r="Z16" s="709">
        <f t="shared" si="25"/>
        <v>57.758840114032495</v>
      </c>
      <c r="AA16" s="635">
        <f t="shared" si="26"/>
        <v>1.3034800687515604</v>
      </c>
      <c r="AB16" s="709">
        <f t="shared" si="27"/>
        <v>12.760436575210429</v>
      </c>
      <c r="AC16" s="638">
        <f t="shared" si="28"/>
        <v>954.94615655200391</v>
      </c>
    </row>
    <row r="17" spans="1:29"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9"/>
        <v>0</v>
      </c>
      <c r="I17" s="703">
        <f t="shared" si="10"/>
        <v>5</v>
      </c>
      <c r="J17" s="743">
        <f>IF(Weather_Site!M15&lt;180,Weather_Site!M15+180,Weather_Site!M15-180)</f>
        <v>182</v>
      </c>
      <c r="K17" s="635">
        <f t="shared" si="11"/>
        <v>5.8266999999999998</v>
      </c>
      <c r="L17" s="635">
        <f t="shared" si="12"/>
        <v>7.3308</v>
      </c>
      <c r="M17" s="635">
        <f t="shared" si="13"/>
        <v>7.5527000000000006</v>
      </c>
      <c r="N17" s="704">
        <f t="shared" si="14"/>
        <v>7.3308</v>
      </c>
      <c r="O17" s="636">
        <f t="shared" si="15"/>
        <v>0.73280688314218367</v>
      </c>
      <c r="P17" s="705">
        <f>IF($O$11,Weather_Site!H15,IF(0.191*(Weather_Site!K15+104)*(Weather_Site!J15+1)^1.5/(3.52*(Weather_Site!J15+1)^1.5+Weather_Site!I15-1)&gt;10, 10,0.191*(Weather_Site!K15+104)*(Weather_Site!J15+1)^1.5/(3.52*(Weather_Site!J15+1)^1.5+Weather_Site!I15-1)))</f>
        <v>8.6999999999999993</v>
      </c>
      <c r="Q17" s="744">
        <f t="shared" si="16"/>
        <v>2.5922333471999974</v>
      </c>
      <c r="R17" s="636">
        <f t="shared" si="17"/>
        <v>9.6926101633586892E-2</v>
      </c>
      <c r="S17" s="636">
        <f t="shared" si="18"/>
        <v>7.1028114433231329E-2</v>
      </c>
      <c r="T17" s="635">
        <f t="shared" si="19"/>
        <v>1</v>
      </c>
      <c r="U17" s="706">
        <f t="shared" si="20"/>
        <v>28.075700740145354</v>
      </c>
      <c r="V17" s="707">
        <f t="shared" si="21"/>
        <v>92.73719350997635</v>
      </c>
      <c r="W17" s="707">
        <f t="shared" si="22"/>
        <v>172.06199150034175</v>
      </c>
      <c r="X17" s="708">
        <f t="shared" si="23"/>
        <v>1</v>
      </c>
      <c r="Y17" s="636">
        <f t="shared" si="24"/>
        <v>0</v>
      </c>
      <c r="Z17" s="709">
        <f t="shared" si="25"/>
        <v>92.73719350997635</v>
      </c>
      <c r="AA17" s="635">
        <f t="shared" si="26"/>
        <v>1.8356033888599901</v>
      </c>
      <c r="AB17" s="709">
        <f t="shared" si="27"/>
        <v>14.245344625188379</v>
      </c>
      <c r="AC17" s="638">
        <f t="shared" si="28"/>
        <v>1533.2549326982758</v>
      </c>
    </row>
    <row r="18" spans="1:29"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9"/>
        <v>0</v>
      </c>
      <c r="I18" s="703">
        <f t="shared" si="10"/>
        <v>6.4</v>
      </c>
      <c r="J18" s="743">
        <f>IF(Weather_Site!M16&lt;180,Weather_Site!M16+180,Weather_Site!M16-180)</f>
        <v>180</v>
      </c>
      <c r="K18" s="635">
        <f t="shared" si="11"/>
        <v>5.5108899999999998</v>
      </c>
      <c r="L18" s="635">
        <f t="shared" si="12"/>
        <v>6.8554999999999993</v>
      </c>
      <c r="M18" s="635">
        <f t="shared" si="13"/>
        <v>7.0060100000000016</v>
      </c>
      <c r="N18" s="704">
        <f t="shared" si="14"/>
        <v>6.8554999999999993</v>
      </c>
      <c r="O18" s="636">
        <f t="shared" si="15"/>
        <v>0.78225885406876117</v>
      </c>
      <c r="P18" s="705">
        <f>IF($O$11,Weather_Site!H16,IF(0.191*(Weather_Site!K16+104)*(Weather_Site!J16+1)^1.5/(3.52*(Weather_Site!J16+1)^1.5+Weather_Site!I16-1)&gt;10, 10,0.191*(Weather_Site!K16+104)*(Weather_Site!J16+1)^1.5/(3.52*(Weather_Site!J16+1)^1.5+Weather_Site!I16-1)))</f>
        <v>8.6999999999999993</v>
      </c>
      <c r="Q18" s="744">
        <f t="shared" si="16"/>
        <v>2.5922333471999974</v>
      </c>
      <c r="R18" s="636">
        <f t="shared" si="17"/>
        <v>9.6926101633586892E-2</v>
      </c>
      <c r="S18" s="636">
        <f t="shared" si="18"/>
        <v>7.5821301193241958E-2</v>
      </c>
      <c r="T18" s="635">
        <f t="shared" si="19"/>
        <v>1</v>
      </c>
      <c r="U18" s="706">
        <f t="shared" si="20"/>
        <v>38.845719975849342</v>
      </c>
      <c r="V18" s="707">
        <f t="shared" si="21"/>
        <v>126.83239272202384</v>
      </c>
      <c r="W18" s="707">
        <f t="shared" si="22"/>
        <v>246.46938726400583</v>
      </c>
      <c r="X18" s="708">
        <f t="shared" si="23"/>
        <v>1</v>
      </c>
      <c r="Y18" s="636">
        <f t="shared" si="24"/>
        <v>0</v>
      </c>
      <c r="Z18" s="709">
        <f t="shared" si="25"/>
        <v>126.83239272202384</v>
      </c>
      <c r="AA18" s="635">
        <f t="shared" si="26"/>
        <v>2.3019170517696916</v>
      </c>
      <c r="AB18" s="709">
        <f t="shared" si="27"/>
        <v>15.750098440545377</v>
      </c>
      <c r="AC18" s="638">
        <f t="shared" si="28"/>
        <v>2096.9622263374613</v>
      </c>
    </row>
    <row r="19" spans="1:29" x14ac:dyDescent="0.25">
      <c r="A19" s="4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9"/>
        <v>0</v>
      </c>
      <c r="I19" s="710">
        <f t="shared" si="10"/>
        <v>5.4</v>
      </c>
      <c r="J19" s="737">
        <f>IF(Weather_Site!M17&lt;180,Weather_Site!M17+180,Weather_Site!M17-180)</f>
        <v>148</v>
      </c>
      <c r="K19" s="711">
        <f t="shared" si="11"/>
        <v>5.7140099999999991</v>
      </c>
      <c r="L19" s="711">
        <f t="shared" si="12"/>
        <v>7.0855000000000006</v>
      </c>
      <c r="M19" s="711">
        <f t="shared" si="13"/>
        <v>7.2860900000000006</v>
      </c>
      <c r="N19" s="712">
        <f t="shared" si="14"/>
        <v>7.0855000000000006</v>
      </c>
      <c r="O19" s="713">
        <f t="shared" si="15"/>
        <v>0.75704414246787488</v>
      </c>
      <c r="P19" s="714">
        <f>IF($O$11,Weather_Site!H17,IF(0.191*(Weather_Site!K17+104)*(Weather_Site!J17+1)^1.5/(3.52*(Weather_Site!J17+1)^1.5+Weather_Site!I17-1)&gt;10, 10,0.191*(Weather_Site!K17+104)*(Weather_Site!J17+1)^1.5/(3.52*(Weather_Site!J17+1)^1.5+Weather_Site!I17-1)))</f>
        <v>8.6999999999999993</v>
      </c>
      <c r="Q19" s="745">
        <f t="shared" si="16"/>
        <v>2.5922333471999974</v>
      </c>
      <c r="R19" s="713">
        <f t="shared" si="17"/>
        <v>9.6926101633586892E-2</v>
      </c>
      <c r="S19" s="713">
        <f t="shared" si="18"/>
        <v>7.3377337493952879E-2</v>
      </c>
      <c r="T19" s="711">
        <f t="shared" si="19"/>
        <v>1</v>
      </c>
      <c r="U19" s="746">
        <f t="shared" si="20"/>
        <v>31.478157912178979</v>
      </c>
      <c r="V19" s="716">
        <f t="shared" si="21"/>
        <v>103.64852796624062</v>
      </c>
      <c r="W19" s="716">
        <f t="shared" si="22"/>
        <v>194.82005439046964</v>
      </c>
      <c r="X19" s="717">
        <f t="shared" si="23"/>
        <v>1</v>
      </c>
      <c r="Y19" s="713">
        <f t="shared" si="24"/>
        <v>0</v>
      </c>
      <c r="Z19" s="747">
        <f t="shared" si="25"/>
        <v>103.64852796624062</v>
      </c>
      <c r="AA19" s="711">
        <f t="shared" si="26"/>
        <v>1.9893279981726248</v>
      </c>
      <c r="AB19" s="742">
        <f t="shared" si="27"/>
        <v>14.911740801956698</v>
      </c>
      <c r="AC19" s="720">
        <f t="shared" si="28"/>
        <v>1713.6556623751781</v>
      </c>
    </row>
    <row r="20" spans="1:29" x14ac:dyDescent="0.25">
      <c r="A20" s="4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51" si="29">C$4</f>
        <v>0</v>
      </c>
      <c r="I20" s="413">
        <f t="shared" si="10"/>
        <v>8.4</v>
      </c>
      <c r="J20" s="737">
        <f>IF(Weather_Site!M18&lt;180,Weather_Site!M18+180,Weather_Site!M18-180)</f>
        <v>148</v>
      </c>
      <c r="K20" s="711">
        <f t="shared" si="11"/>
        <v>6.1751700000000005</v>
      </c>
      <c r="L20" s="711">
        <f t="shared" si="12"/>
        <v>7.6905999999999999</v>
      </c>
      <c r="M20" s="711">
        <f t="shared" si="13"/>
        <v>8.0003299999999999</v>
      </c>
      <c r="N20" s="711">
        <f t="shared" si="14"/>
        <v>7.6905999999999999</v>
      </c>
      <c r="O20" s="713">
        <f t="shared" si="15"/>
        <v>0.69185745591797743</v>
      </c>
      <c r="P20" s="711">
        <f>IF($O$11,Weather_Site!H18,IF(0.191*(Weather_Site!K18+104)*(Weather_Site!J18+1)^1.5/(3.52*(Weather_Site!J18+1)^1.5+Weather_Site!I18-1)&gt;10, 10,0.191*(Weather_Site!K18+104)*(Weather_Site!J18+1)^1.5/(3.52*(Weather_Site!J18+1)^1.5+Weather_Site!I18-1)))</f>
        <v>8.6999999999999993</v>
      </c>
      <c r="Q20" s="711">
        <f t="shared" si="16"/>
        <v>2.5922333471999974</v>
      </c>
      <c r="R20" s="713">
        <f t="shared" si="17"/>
        <v>9.6926101633586892E-2</v>
      </c>
      <c r="S20" s="713">
        <f t="shared" si="18"/>
        <v>6.7059046088260743E-2</v>
      </c>
      <c r="T20" s="711">
        <f t="shared" si="19"/>
        <v>1</v>
      </c>
      <c r="U20" s="716">
        <f t="shared" si="20"/>
        <v>45.318382556458197</v>
      </c>
      <c r="V20" s="716">
        <f t="shared" si="21"/>
        <v>145.50638757714918</v>
      </c>
      <c r="W20" s="716">
        <f t="shared" si="22"/>
        <v>301.38280598137152</v>
      </c>
      <c r="X20" s="717">
        <f t="shared" si="23"/>
        <v>1</v>
      </c>
      <c r="Y20" s="713">
        <f t="shared" si="24"/>
        <v>0</v>
      </c>
      <c r="Z20" s="710">
        <f t="shared" si="25"/>
        <v>145.50638757714918</v>
      </c>
      <c r="AA20" s="711">
        <f t="shared" si="26"/>
        <v>2.5422483513383467</v>
      </c>
      <c r="AB20" s="716">
        <f t="shared" si="27"/>
        <v>14.186333708091137</v>
      </c>
      <c r="AC20" s="719"/>
    </row>
    <row r="21" spans="1:29" x14ac:dyDescent="0.25">
      <c r="A21" s="4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9"/>
        <v>0</v>
      </c>
      <c r="I21" s="413">
        <f t="shared" si="10"/>
        <v>8.6</v>
      </c>
      <c r="J21" s="737">
        <f>IF(Weather_Site!M19&lt;180,Weather_Site!M19+180,Weather_Site!M19-180)</f>
        <v>146</v>
      </c>
      <c r="K21" s="711">
        <f t="shared" si="11"/>
        <v>6.5682299999999998</v>
      </c>
      <c r="L21" s="711">
        <f t="shared" si="12"/>
        <v>8.2224000000000004</v>
      </c>
      <c r="M21" s="711">
        <f t="shared" si="13"/>
        <v>8.624270000000001</v>
      </c>
      <c r="N21" s="711">
        <f t="shared" si="14"/>
        <v>8.2224000000000004</v>
      </c>
      <c r="O21" s="713">
        <f t="shared" si="15"/>
        <v>0.63492604413133669</v>
      </c>
      <c r="P21" s="711">
        <f>IF($O$11,Weather_Site!H19,IF(0.191*(Weather_Site!K19+104)*(Weather_Site!J19+1)^1.5/(3.52*(Weather_Site!J19+1)^1.5+Weather_Site!I19-1)&gt;10, 10,0.191*(Weather_Site!K19+104)*(Weather_Site!J19+1)^1.5/(3.52*(Weather_Site!J19+1)^1.5+Weather_Site!I19-1)))</f>
        <v>8.6999999999999993</v>
      </c>
      <c r="Q21" s="711">
        <f t="shared" si="16"/>
        <v>2.5922333471999974</v>
      </c>
      <c r="R21" s="713">
        <f t="shared" si="17"/>
        <v>9.6926101633586892E-2</v>
      </c>
      <c r="S21" s="713">
        <f t="shared" si="18"/>
        <v>6.1540906283285214E-2</v>
      </c>
      <c r="T21" s="711">
        <f t="shared" si="19"/>
        <v>1</v>
      </c>
      <c r="U21" s="716">
        <f t="shared" si="20"/>
        <v>42.583201940033021</v>
      </c>
      <c r="V21" s="716">
        <f t="shared" si="21"/>
        <v>136.50595933295426</v>
      </c>
      <c r="W21" s="716">
        <f t="shared" si="22"/>
        <v>284.44537416432718</v>
      </c>
      <c r="X21" s="717">
        <f t="shared" si="23"/>
        <v>1</v>
      </c>
      <c r="Y21" s="713">
        <f t="shared" si="24"/>
        <v>0</v>
      </c>
      <c r="Z21" s="710">
        <f t="shared" si="25"/>
        <v>136.50595933295426</v>
      </c>
      <c r="AA21" s="711">
        <f t="shared" si="26"/>
        <v>2.4275537848896489</v>
      </c>
      <c r="AB21" s="716">
        <f t="shared" si="27"/>
        <v>13.028858791752974</v>
      </c>
      <c r="AC21" s="719"/>
    </row>
    <row r="22" spans="1:29" x14ac:dyDescent="0.25">
      <c r="A22" s="4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9"/>
        <v>0</v>
      </c>
      <c r="I22" s="413">
        <f t="shared" si="10"/>
        <v>9</v>
      </c>
      <c r="J22" s="737">
        <f>IF(Weather_Site!M20&lt;180,Weather_Site!M20+180,Weather_Site!M20-180)</f>
        <v>112</v>
      </c>
      <c r="K22" s="711">
        <f t="shared" si="11"/>
        <v>7.0518299999999998</v>
      </c>
      <c r="L22" s="711">
        <f t="shared" si="12"/>
        <v>8.8815000000000008</v>
      </c>
      <c r="M22" s="711">
        <f t="shared" si="13"/>
        <v>9.396469999999999</v>
      </c>
      <c r="N22" s="711">
        <f t="shared" si="14"/>
        <v>8.8815000000000008</v>
      </c>
      <c r="O22" s="713">
        <f t="shared" si="15"/>
        <v>0.56607316273460562</v>
      </c>
      <c r="P22" s="711">
        <f>IF($O$11,Weather_Site!H20,IF(0.191*(Weather_Site!K20+104)*(Weather_Site!J20+1)^1.5/(3.52*(Weather_Site!J20+1)^1.5+Weather_Site!I20-1)&gt;10, 10,0.191*(Weather_Site!K20+104)*(Weather_Site!J20+1)^1.5/(3.52*(Weather_Site!J20+1)^1.5+Weather_Site!I20-1)))</f>
        <v>8.6999999999999993</v>
      </c>
      <c r="Q22" s="711">
        <f t="shared" si="16"/>
        <v>2.5922333471999974</v>
      </c>
      <c r="R22" s="713">
        <f t="shared" si="17"/>
        <v>9.6926101633586892E-2</v>
      </c>
      <c r="S22" s="713">
        <f t="shared" si="18"/>
        <v>5.4867264903260354E-2</v>
      </c>
      <c r="T22" s="711">
        <f t="shared" si="19"/>
        <v>1</v>
      </c>
      <c r="U22" s="716">
        <f t="shared" si="20"/>
        <v>39.732633011928684</v>
      </c>
      <c r="V22" s="716">
        <f t="shared" si="21"/>
        <v>126.96804472865799</v>
      </c>
      <c r="W22" s="716">
        <f t="shared" si="22"/>
        <v>267.71271648000044</v>
      </c>
      <c r="X22" s="717">
        <f t="shared" si="23"/>
        <v>1</v>
      </c>
      <c r="Y22" s="713">
        <f t="shared" si="24"/>
        <v>0</v>
      </c>
      <c r="Z22" s="710">
        <f t="shared" si="25"/>
        <v>126.96804472865799</v>
      </c>
      <c r="AA22" s="711">
        <f t="shared" si="26"/>
        <v>2.3036968046162927</v>
      </c>
      <c r="AB22" s="716">
        <f t="shared" si="27"/>
        <v>11.629240220613479</v>
      </c>
      <c r="AC22" s="719"/>
    </row>
    <row r="23" spans="1:29" x14ac:dyDescent="0.25">
      <c r="A23" s="4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9"/>
        <v>0</v>
      </c>
      <c r="I23" s="413">
        <f t="shared" si="10"/>
        <v>8</v>
      </c>
      <c r="J23" s="737">
        <f>IF(Weather_Site!M21&lt;180,Weather_Site!M21+180,Weather_Site!M21-180)</f>
        <v>105</v>
      </c>
      <c r="K23" s="711">
        <f t="shared" si="11"/>
        <v>6.9526300000000001</v>
      </c>
      <c r="L23" s="711">
        <f t="shared" si="12"/>
        <v>8.7463000000000015</v>
      </c>
      <c r="M23" s="711">
        <f t="shared" si="13"/>
        <v>9.2380700000000004</v>
      </c>
      <c r="N23" s="711">
        <f t="shared" si="14"/>
        <v>6.9526300000000001</v>
      </c>
      <c r="O23" s="713">
        <f t="shared" si="15"/>
        <v>0.57997606825110792</v>
      </c>
      <c r="P23" s="711">
        <f>IF($O$11,Weather_Site!H21,IF(0.191*(Weather_Site!K21+104)*(Weather_Site!J21+1)^1.5/(3.52*(Weather_Site!J21+1)^1.5+Weather_Site!I21-1)&gt;10, 10,0.191*(Weather_Site!K21+104)*(Weather_Site!J21+1)^1.5/(3.52*(Weather_Site!J21+1)^1.5+Weather_Site!I21-1)))</f>
        <v>8.8000000000000007</v>
      </c>
      <c r="Q23" s="711">
        <f t="shared" si="16"/>
        <v>2.6220291327999981</v>
      </c>
      <c r="R23" s="713">
        <f t="shared" si="17"/>
        <v>9.9382586654383737E-2</v>
      </c>
      <c r="S23" s="713">
        <f t="shared" si="18"/>
        <v>5.7639521860434507E-2</v>
      </c>
      <c r="T23" s="711">
        <f t="shared" si="19"/>
        <v>1</v>
      </c>
      <c r="U23" s="716">
        <f t="shared" si="20"/>
        <v>37.085147296754748</v>
      </c>
      <c r="V23" s="716">
        <f t="shared" si="21"/>
        <v>119.45879208084406</v>
      </c>
      <c r="W23" s="716">
        <f t="shared" si="22"/>
        <v>244.42131822044954</v>
      </c>
      <c r="X23" s="717">
        <f t="shared" si="23"/>
        <v>1</v>
      </c>
      <c r="Y23" s="713">
        <f t="shared" si="24"/>
        <v>0</v>
      </c>
      <c r="Z23" s="710">
        <f t="shared" si="25"/>
        <v>119.45879208084406</v>
      </c>
      <c r="AA23" s="711">
        <f t="shared" si="26"/>
        <v>2.2043621527058503</v>
      </c>
      <c r="AB23" s="716">
        <f t="shared" si="27"/>
        <v>12.169803594218017</v>
      </c>
      <c r="AC23" s="719"/>
    </row>
    <row r="24" spans="1:29"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9"/>
        <v>0</v>
      </c>
      <c r="I24" s="27">
        <f t="shared" si="10"/>
        <v>8.4</v>
      </c>
      <c r="J24" s="738">
        <f>IF(Weather_Site!M22&lt;180,Weather_Site!M22+180,Weather_Site!M22-180)</f>
        <v>97</v>
      </c>
      <c r="K24" s="635">
        <f t="shared" si="11"/>
        <v>6.6232399999999991</v>
      </c>
      <c r="L24" s="635">
        <f t="shared" si="12"/>
        <v>8.2642000000000007</v>
      </c>
      <c r="M24" s="635">
        <f t="shared" si="13"/>
        <v>8.6807599999999994</v>
      </c>
      <c r="N24" s="635">
        <f t="shared" si="14"/>
        <v>6.6232399999999991</v>
      </c>
      <c r="O24" s="636">
        <f t="shared" si="15"/>
        <v>0.62981101215050117</v>
      </c>
      <c r="P24" s="635">
        <f>IF($O$11,Weather_Site!H22,IF(0.191*(Weather_Site!K22+104)*(Weather_Site!J22+1)^1.5/(3.52*(Weather_Site!J22+1)^1.5+Weather_Site!I22-1)&gt;10, 10,0.191*(Weather_Site!K22+104)*(Weather_Site!J22+1)^1.5/(3.52*(Weather_Site!J22+1)^1.5+Weather_Site!I22-1)))</f>
        <v>8.8000000000000007</v>
      </c>
      <c r="Q24" s="635">
        <f t="shared" si="16"/>
        <v>2.6220291327999981</v>
      </c>
      <c r="R24" s="636">
        <f t="shared" si="17"/>
        <v>9.9382586654383737E-2</v>
      </c>
      <c r="S24" s="636">
        <f t="shared" si="18"/>
        <v>6.2592247490932312E-2</v>
      </c>
      <c r="T24" s="635">
        <f t="shared" si="19"/>
        <v>1</v>
      </c>
      <c r="U24" s="707">
        <f t="shared" si="20"/>
        <v>42.299728110196732</v>
      </c>
      <c r="V24" s="707">
        <f t="shared" si="21"/>
        <v>135.8142167837189</v>
      </c>
      <c r="W24" s="707">
        <f t="shared" si="22"/>
        <v>281.30771733121901</v>
      </c>
      <c r="X24" s="708">
        <f t="shared" si="23"/>
        <v>1</v>
      </c>
      <c r="Y24" s="636">
        <f t="shared" si="24"/>
        <v>0</v>
      </c>
      <c r="Z24" s="637">
        <f t="shared" si="25"/>
        <v>135.8142167837189</v>
      </c>
      <c r="AA24" s="635">
        <f t="shared" si="26"/>
        <v>2.4186534694841493</v>
      </c>
      <c r="AB24" s="707">
        <f t="shared" si="27"/>
        <v>13.241382963859966</v>
      </c>
      <c r="AC24" s="644"/>
    </row>
    <row r="25" spans="1:29"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9"/>
        <v>0</v>
      </c>
      <c r="I25" s="27">
        <f t="shared" si="10"/>
        <v>7.4</v>
      </c>
      <c r="J25" s="738">
        <f>IF(Weather_Site!M23&lt;180,Weather_Site!M23+180,Weather_Site!M23-180)</f>
        <v>78</v>
      </c>
      <c r="K25" s="635">
        <f t="shared" si="11"/>
        <v>5.886029999999999</v>
      </c>
      <c r="L25" s="635">
        <f t="shared" si="12"/>
        <v>7.2536000000000005</v>
      </c>
      <c r="M25" s="635">
        <f t="shared" si="13"/>
        <v>7.4980699999999993</v>
      </c>
      <c r="N25" s="635">
        <f t="shared" si="14"/>
        <v>5.886029999999999</v>
      </c>
      <c r="O25" s="636">
        <f t="shared" si="15"/>
        <v>0.73778717005738437</v>
      </c>
      <c r="P25" s="635">
        <f>IF($O$11,Weather_Site!H23,IF(0.191*(Weather_Site!K23+104)*(Weather_Site!J23+1)^1.5/(3.52*(Weather_Site!J23+1)^1.5+Weather_Site!I23-1)&gt;10, 10,0.191*(Weather_Site!K23+104)*(Weather_Site!J23+1)^1.5/(3.52*(Weather_Site!J23+1)^1.5+Weather_Site!I23-1)))</f>
        <v>8.8000000000000007</v>
      </c>
      <c r="Q25" s="635">
        <f t="shared" si="16"/>
        <v>2.6220291327999981</v>
      </c>
      <c r="R25" s="636">
        <f t="shared" si="17"/>
        <v>9.9382586654383737E-2</v>
      </c>
      <c r="S25" s="636">
        <f t="shared" si="18"/>
        <v>7.3323197360720557E-2</v>
      </c>
      <c r="T25" s="635">
        <f t="shared" si="19"/>
        <v>1</v>
      </c>
      <c r="U25" s="707">
        <f t="shared" si="20"/>
        <v>43.593434544069112</v>
      </c>
      <c r="V25" s="707">
        <f t="shared" si="21"/>
        <v>141.12530264000353</v>
      </c>
      <c r="W25" s="707">
        <f t="shared" si="22"/>
        <v>283.35144424331332</v>
      </c>
      <c r="X25" s="708">
        <f t="shared" si="23"/>
        <v>1</v>
      </c>
      <c r="Y25" s="636">
        <f t="shared" si="24"/>
        <v>0</v>
      </c>
      <c r="Z25" s="637">
        <f t="shared" si="25"/>
        <v>141.12530264000353</v>
      </c>
      <c r="AA25" s="635">
        <f t="shared" si="26"/>
        <v>2.4866724260060824</v>
      </c>
      <c r="AB25" s="707">
        <f t="shared" si="27"/>
        <v>15.415443553109137</v>
      </c>
      <c r="AC25" s="644"/>
    </row>
    <row r="26" spans="1:29"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9"/>
        <v>0</v>
      </c>
      <c r="I26" s="27">
        <f t="shared" si="10"/>
        <v>7.4</v>
      </c>
      <c r="J26" s="738">
        <f>IF(Weather_Site!M24&lt;180,Weather_Site!M24+180,Weather_Site!M24-180)</f>
        <v>81</v>
      </c>
      <c r="K26" s="635">
        <f t="shared" si="11"/>
        <v>5.2665199999999999</v>
      </c>
      <c r="L26" s="635">
        <f t="shared" si="12"/>
        <v>6.3839000000000006</v>
      </c>
      <c r="M26" s="635">
        <f t="shared" si="13"/>
        <v>6.4848800000000013</v>
      </c>
      <c r="N26" s="635">
        <f t="shared" si="14"/>
        <v>5.2665199999999999</v>
      </c>
      <c r="O26" s="636">
        <f t="shared" si="15"/>
        <v>0.82811248179694097</v>
      </c>
      <c r="P26" s="635">
        <f>IF($O$11,Weather_Site!H24,IF(0.191*(Weather_Site!K24+104)*(Weather_Site!J24+1)^1.5/(3.52*(Weather_Site!J24+1)^1.5+Weather_Site!I24-1)&gt;10, 10,0.191*(Weather_Site!K24+104)*(Weather_Site!J24+1)^1.5/(3.52*(Weather_Site!J24+1)^1.5+Weather_Site!I24-1)))</f>
        <v>8.8000000000000007</v>
      </c>
      <c r="Q26" s="635">
        <f t="shared" si="16"/>
        <v>2.6220291327999981</v>
      </c>
      <c r="R26" s="636">
        <f t="shared" si="17"/>
        <v>9.9382586654383737E-2</v>
      </c>
      <c r="S26" s="636">
        <f t="shared" si="18"/>
        <v>8.2299960481761261E-2</v>
      </c>
      <c r="T26" s="635">
        <f t="shared" si="19"/>
        <v>1</v>
      </c>
      <c r="U26" s="707">
        <f t="shared" si="20"/>
        <v>48.930462246359916</v>
      </c>
      <c r="V26" s="707">
        <f t="shared" si="21"/>
        <v>158.40289633183491</v>
      </c>
      <c r="W26" s="707">
        <f t="shared" si="22"/>
        <v>318.04140439962805</v>
      </c>
      <c r="X26" s="708">
        <f t="shared" si="23"/>
        <v>1</v>
      </c>
      <c r="Y26" s="636">
        <f t="shared" si="24"/>
        <v>0</v>
      </c>
      <c r="Z26" s="637">
        <f t="shared" si="25"/>
        <v>158.40289633183491</v>
      </c>
      <c r="AA26" s="635">
        <f t="shared" si="26"/>
        <v>2.7032298866939897</v>
      </c>
      <c r="AB26" s="707">
        <f t="shared" si="27"/>
        <v>17.302715114675898</v>
      </c>
      <c r="AC26" s="644"/>
    </row>
    <row r="27" spans="1:29"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9"/>
        <v>0</v>
      </c>
      <c r="I27" s="27">
        <f t="shared" si="10"/>
        <v>6.8</v>
      </c>
      <c r="J27" s="738">
        <f>IF(Weather_Site!M25&lt;180,Weather_Site!M25+180,Weather_Site!M25-180)</f>
        <v>63</v>
      </c>
      <c r="K27" s="635">
        <f t="shared" si="11"/>
        <v>4.9459900000000001</v>
      </c>
      <c r="L27" s="635">
        <f t="shared" si="12"/>
        <v>5.9489999999999998</v>
      </c>
      <c r="M27" s="635">
        <f t="shared" si="13"/>
        <v>5.9749100000000004</v>
      </c>
      <c r="N27" s="635">
        <f t="shared" si="14"/>
        <v>4.9459900000000001</v>
      </c>
      <c r="O27" s="636">
        <f t="shared" si="15"/>
        <v>0.87100854132236749</v>
      </c>
      <c r="P27" s="635">
        <f>IF($O$11,Weather_Site!H25,IF(0.191*(Weather_Site!K25+104)*(Weather_Site!J25+1)^1.5/(3.52*(Weather_Site!J25+1)^1.5+Weather_Site!I25-1)&gt;10, 10,0.191*(Weather_Site!K25+104)*(Weather_Site!J25+1)^1.5/(3.52*(Weather_Site!J25+1)^1.5+Weather_Site!I25-1)))</f>
        <v>8.8000000000000007</v>
      </c>
      <c r="Q27" s="635">
        <f t="shared" si="16"/>
        <v>2.6220291327999981</v>
      </c>
      <c r="R27" s="636">
        <f t="shared" si="17"/>
        <v>9.9382586654383737E-2</v>
      </c>
      <c r="S27" s="636">
        <f t="shared" si="18"/>
        <v>8.6563081834678562E-2</v>
      </c>
      <c r="T27" s="635">
        <f t="shared" si="19"/>
        <v>1</v>
      </c>
      <c r="U27" s="707">
        <f t="shared" si="20"/>
        <v>47.206218680288366</v>
      </c>
      <c r="V27" s="707">
        <f t="shared" si="21"/>
        <v>153.60180482698257</v>
      </c>
      <c r="W27" s="707">
        <f t="shared" si="22"/>
        <v>302.46115076917312</v>
      </c>
      <c r="X27" s="708">
        <f t="shared" si="23"/>
        <v>1</v>
      </c>
      <c r="Y27" s="636">
        <f t="shared" si="24"/>
        <v>0</v>
      </c>
      <c r="Z27" s="637">
        <f t="shared" si="25"/>
        <v>153.60180482698257</v>
      </c>
      <c r="AA27" s="635">
        <f t="shared" si="26"/>
        <v>2.6437402573213742</v>
      </c>
      <c r="AB27" s="707">
        <f t="shared" si="27"/>
        <v>18.08441707014488</v>
      </c>
      <c r="AC27" s="644"/>
    </row>
    <row r="28" spans="1:29"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9"/>
        <v>0</v>
      </c>
      <c r="I28" s="27">
        <f t="shared" si="10"/>
        <v>7.4</v>
      </c>
      <c r="J28" s="738">
        <f>IF(Weather_Site!M26&lt;180,Weather_Site!M26+180,Weather_Site!M26-180)</f>
        <v>57</v>
      </c>
      <c r="K28" s="635">
        <f t="shared" si="11"/>
        <v>4.8760200000000005</v>
      </c>
      <c r="L28" s="635">
        <f t="shared" si="12"/>
        <v>5.8712</v>
      </c>
      <c r="M28" s="635">
        <f t="shared" si="13"/>
        <v>5.8797800000000002</v>
      </c>
      <c r="N28" s="635">
        <f t="shared" si="14"/>
        <v>5.8712</v>
      </c>
      <c r="O28" s="636">
        <f t="shared" si="15"/>
        <v>0.87873095518053934</v>
      </c>
      <c r="P28" s="635">
        <f>IF($O$11,Weather_Site!H26,IF(0.191*(Weather_Site!K26+104)*(Weather_Site!J26+1)^1.5/(3.52*(Weather_Site!J26+1)^1.5+Weather_Site!I26-1)&gt;10, 10,0.191*(Weather_Site!K26+104)*(Weather_Site!J26+1)^1.5/(3.52*(Weather_Site!J26+1)^1.5+Weather_Site!I26-1)))</f>
        <v>8.8000000000000007</v>
      </c>
      <c r="Q28" s="635">
        <f t="shared" si="16"/>
        <v>2.6220291327999981</v>
      </c>
      <c r="R28" s="636">
        <f t="shared" si="17"/>
        <v>9.9382586654383737E-2</v>
      </c>
      <c r="S28" s="636">
        <f t="shared" si="18"/>
        <v>8.7330555299119345E-2</v>
      </c>
      <c r="T28" s="635">
        <f t="shared" si="19"/>
        <v>1</v>
      </c>
      <c r="U28" s="707">
        <f t="shared" si="20"/>
        <v>51.921342537754754</v>
      </c>
      <c r="V28" s="707">
        <f t="shared" si="21"/>
        <v>168.0852921030702</v>
      </c>
      <c r="W28" s="707">
        <f t="shared" si="22"/>
        <v>337.48172285558434</v>
      </c>
      <c r="X28" s="708">
        <f t="shared" si="23"/>
        <v>1</v>
      </c>
      <c r="Y28" s="636">
        <f t="shared" si="24"/>
        <v>0</v>
      </c>
      <c r="Z28" s="637">
        <f t="shared" si="25"/>
        <v>168.0852921030702</v>
      </c>
      <c r="AA28" s="635">
        <f t="shared" si="26"/>
        <v>2.8217090332739967</v>
      </c>
      <c r="AB28" s="707">
        <f t="shared" si="27"/>
        <v>18.360345622304166</v>
      </c>
      <c r="AC28" s="644"/>
    </row>
    <row r="29" spans="1:29" x14ac:dyDescent="0.25">
      <c r="A29" s="4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9"/>
        <v>0</v>
      </c>
      <c r="I29" s="413">
        <f t="shared" si="10"/>
        <v>7.4</v>
      </c>
      <c r="J29" s="737">
        <f>IF(Weather_Site!M27&lt;180,Weather_Site!M27+180,Weather_Site!M27-180)</f>
        <v>46</v>
      </c>
      <c r="K29" s="711">
        <f t="shared" si="11"/>
        <v>4.9003300000000003</v>
      </c>
      <c r="L29" s="711">
        <f t="shared" si="12"/>
        <v>5.9297000000000004</v>
      </c>
      <c r="M29" s="711">
        <f t="shared" si="13"/>
        <v>5.9425700000000008</v>
      </c>
      <c r="N29" s="711">
        <f t="shared" si="14"/>
        <v>5.9297000000000004</v>
      </c>
      <c r="O29" s="713">
        <f t="shared" si="15"/>
        <v>0.87364479203180789</v>
      </c>
      <c r="P29" s="711">
        <f>IF($O$11,Weather_Site!H27,IF(0.191*(Weather_Site!K27+104)*(Weather_Site!J27+1)^1.5/(3.52*(Weather_Site!J27+1)^1.5+Weather_Site!I27-1)&gt;10, 10,0.191*(Weather_Site!K27+104)*(Weather_Site!J27+1)^1.5/(3.52*(Weather_Site!J27+1)^1.5+Weather_Site!I27-1)))</f>
        <v>8.8000000000000007</v>
      </c>
      <c r="Q29" s="711">
        <f t="shared" si="16"/>
        <v>2.6220291327999981</v>
      </c>
      <c r="R29" s="713">
        <f t="shared" si="17"/>
        <v>9.9382586654383737E-2</v>
      </c>
      <c r="S29" s="713">
        <f t="shared" si="18"/>
        <v>8.6825079249252202E-2</v>
      </c>
      <c r="T29" s="711">
        <f t="shared" si="19"/>
        <v>1</v>
      </c>
      <c r="U29" s="716">
        <f t="shared" si="20"/>
        <v>51.620817766786672</v>
      </c>
      <c r="V29" s="716">
        <f t="shared" si="21"/>
        <v>167.11240135249599</v>
      </c>
      <c r="W29" s="716">
        <f t="shared" si="22"/>
        <v>335.52835238190409</v>
      </c>
      <c r="X29" s="717">
        <f t="shared" si="23"/>
        <v>1</v>
      </c>
      <c r="Y29" s="713">
        <f t="shared" si="24"/>
        <v>0</v>
      </c>
      <c r="Z29" s="710">
        <f t="shared" si="25"/>
        <v>167.11240135249599</v>
      </c>
      <c r="AA29" s="711">
        <f t="shared" si="26"/>
        <v>2.8098913115529696</v>
      </c>
      <c r="AB29" s="716">
        <f t="shared" si="27"/>
        <v>18.254074513096516</v>
      </c>
      <c r="AC29" s="719"/>
    </row>
    <row r="30" spans="1:29" x14ac:dyDescent="0.25">
      <c r="A30" s="4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9"/>
        <v>0</v>
      </c>
      <c r="I30" s="413">
        <f t="shared" si="10"/>
        <v>6.6</v>
      </c>
      <c r="J30" s="737">
        <f>IF(Weather_Site!M28&lt;180,Weather_Site!M28+180,Weather_Site!M28-180)</f>
        <v>35</v>
      </c>
      <c r="K30" s="711">
        <f t="shared" si="11"/>
        <v>5.4257600000000004</v>
      </c>
      <c r="L30" s="711">
        <f t="shared" si="12"/>
        <v>6.7024000000000008</v>
      </c>
      <c r="M30" s="711">
        <f t="shared" si="13"/>
        <v>6.8350400000000011</v>
      </c>
      <c r="N30" s="711">
        <f t="shared" si="14"/>
        <v>6.8350400000000011</v>
      </c>
      <c r="O30" s="713">
        <f t="shared" si="15"/>
        <v>0.79747877195559513</v>
      </c>
      <c r="P30" s="711">
        <f>IF($O$11,Weather_Site!H28,IF(0.191*(Weather_Site!K28+104)*(Weather_Site!J28+1)^1.5/(3.52*(Weather_Site!J28+1)^1.5+Weather_Site!I28-1)&gt;10, 10,0.191*(Weather_Site!K28+104)*(Weather_Site!J28+1)^1.5/(3.52*(Weather_Site!J28+1)^1.5+Weather_Site!I28-1)))</f>
        <v>8.8000000000000007</v>
      </c>
      <c r="Q30" s="711">
        <f t="shared" si="16"/>
        <v>2.6220291327999981</v>
      </c>
      <c r="R30" s="713">
        <f t="shared" si="17"/>
        <v>9.9382586654383737E-2</v>
      </c>
      <c r="S30" s="713">
        <f t="shared" si="18"/>
        <v>7.9255503158908461E-2</v>
      </c>
      <c r="T30" s="711">
        <f t="shared" si="19"/>
        <v>1</v>
      </c>
      <c r="U30" s="716">
        <f t="shared" si="20"/>
        <v>41.91486468726977</v>
      </c>
      <c r="V30" s="716">
        <f t="shared" si="21"/>
        <v>136.6185112031495</v>
      </c>
      <c r="W30" s="716">
        <f t="shared" si="22"/>
        <v>267.2522681845644</v>
      </c>
      <c r="X30" s="717">
        <f t="shared" si="23"/>
        <v>1</v>
      </c>
      <c r="Y30" s="713">
        <f t="shared" si="24"/>
        <v>0</v>
      </c>
      <c r="Z30" s="710">
        <f t="shared" si="25"/>
        <v>136.6185112031495</v>
      </c>
      <c r="AA30" s="711">
        <f t="shared" si="26"/>
        <v>2.4290007520756891</v>
      </c>
      <c r="AB30" s="716">
        <f t="shared" si="27"/>
        <v>16.513381908227711</v>
      </c>
      <c r="AC30" s="719"/>
    </row>
    <row r="31" spans="1:29" x14ac:dyDescent="0.25">
      <c r="A31" s="4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si="29"/>
        <v>0</v>
      </c>
      <c r="I31" s="413">
        <f t="shared" si="10"/>
        <v>6.8</v>
      </c>
      <c r="J31" s="737">
        <f>IF(Weather_Site!M29&lt;180,Weather_Site!M29+180,Weather_Site!M29-180)</f>
        <v>30</v>
      </c>
      <c r="K31" s="711">
        <f t="shared" si="11"/>
        <v>5.49918</v>
      </c>
      <c r="L31" s="711">
        <f t="shared" si="12"/>
        <v>6.8532000000000002</v>
      </c>
      <c r="M31" s="711">
        <f t="shared" si="13"/>
        <v>7.0002200000000014</v>
      </c>
      <c r="N31" s="711">
        <f t="shared" si="14"/>
        <v>7.0002200000000014</v>
      </c>
      <c r="O31" s="713">
        <f t="shared" si="15"/>
        <v>0.78277665831395427</v>
      </c>
      <c r="P31" s="711">
        <f>IF($O$11,Weather_Site!H29,IF(0.191*(Weather_Site!K29+104)*(Weather_Site!J29+1)^1.5/(3.52*(Weather_Site!J29+1)^1.5+Weather_Site!I29-1)&gt;10, 10,0.191*(Weather_Site!K29+104)*(Weather_Site!J29+1)^1.5/(3.52*(Weather_Site!J29+1)^1.5+Weather_Site!I29-1)))</f>
        <v>8.8000000000000007</v>
      </c>
      <c r="Q31" s="711">
        <f t="shared" si="16"/>
        <v>2.6220291327999981</v>
      </c>
      <c r="R31" s="713">
        <f t="shared" si="17"/>
        <v>9.9382586654383737E-2</v>
      </c>
      <c r="S31" s="713">
        <f t="shared" si="18"/>
        <v>7.7794369075915484E-2</v>
      </c>
      <c r="T31" s="711">
        <f t="shared" si="19"/>
        <v>1</v>
      </c>
      <c r="U31" s="716">
        <f t="shared" si="20"/>
        <v>42.424298221109723</v>
      </c>
      <c r="V31" s="716">
        <f t="shared" si="21"/>
        <v>138.04216811802459</v>
      </c>
      <c r="W31" s="716">
        <f t="shared" si="22"/>
        <v>271.82228145482645</v>
      </c>
      <c r="X31" s="713">
        <f t="shared" si="23"/>
        <v>1</v>
      </c>
      <c r="Y31" s="713">
        <f t="shared" si="24"/>
        <v>0</v>
      </c>
      <c r="Z31" s="710">
        <f t="shared" si="25"/>
        <v>138.04216811802459</v>
      </c>
      <c r="AA31" s="711">
        <f t="shared" si="26"/>
        <v>2.4472749049624931</v>
      </c>
      <c r="AB31" s="716">
        <f t="shared" si="27"/>
        <v>16.252492243339052</v>
      </c>
      <c r="AC31" s="719"/>
    </row>
    <row r="32" spans="1:29" x14ac:dyDescent="0.25">
      <c r="A32" s="4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9"/>
        <v>0</v>
      </c>
      <c r="I32" s="413">
        <f t="shared" si="10"/>
        <v>6.6</v>
      </c>
      <c r="J32" s="737">
        <f>IF(Weather_Site!M30&lt;180,Weather_Site!M30+180,Weather_Site!M30-180)</f>
        <v>30</v>
      </c>
      <c r="K32" s="711">
        <f t="shared" si="11"/>
        <v>5.9340699999999993</v>
      </c>
      <c r="L32" s="711">
        <f t="shared" si="12"/>
        <v>7.4985999999999997</v>
      </c>
      <c r="M32" s="711">
        <f t="shared" si="13"/>
        <v>7.7444299999999995</v>
      </c>
      <c r="N32" s="711">
        <f t="shared" si="14"/>
        <v>7.7444299999999995</v>
      </c>
      <c r="O32" s="713">
        <f t="shared" si="15"/>
        <v>0.71528875402998504</v>
      </c>
      <c r="P32" s="711">
        <f>IF($O$11,Weather_Site!H30,IF(0.191*(Weather_Site!K30+104)*(Weather_Site!J30+1)^1.5/(3.52*(Weather_Site!J30+1)^1.5+Weather_Site!I30-1)&gt;10, 10,0.191*(Weather_Site!K30+104)*(Weather_Site!J30+1)^1.5/(3.52*(Weather_Site!J30+1)^1.5+Weather_Site!I30-1)))</f>
        <v>8.8000000000000007</v>
      </c>
      <c r="Q32" s="711">
        <f t="shared" si="16"/>
        <v>2.6220291327999981</v>
      </c>
      <c r="R32" s="713">
        <f t="shared" si="17"/>
        <v>9.9382586654383737E-2</v>
      </c>
      <c r="S32" s="713">
        <f t="shared" si="18"/>
        <v>7.1087246580291169E-2</v>
      </c>
      <c r="T32" s="711">
        <f t="shared" si="19"/>
        <v>1</v>
      </c>
      <c r="U32" s="716">
        <f t="shared" si="20"/>
        <v>37.595021199087185</v>
      </c>
      <c r="V32" s="716">
        <f t="shared" si="21"/>
        <v>122.53828953502685</v>
      </c>
      <c r="W32" s="716">
        <f t="shared" si="22"/>
        <v>239.70862754459469</v>
      </c>
      <c r="X32" s="713">
        <f t="shared" si="23"/>
        <v>1</v>
      </c>
      <c r="Y32" s="713">
        <f t="shared" si="24"/>
        <v>0</v>
      </c>
      <c r="Z32" s="710">
        <f t="shared" si="25"/>
        <v>122.53828953502685</v>
      </c>
      <c r="AA32" s="711">
        <f t="shared" si="26"/>
        <v>2.2453020210843295</v>
      </c>
      <c r="AB32" s="716">
        <f t="shared" si="27"/>
        <v>14.811474343062764</v>
      </c>
      <c r="AC32" s="719"/>
    </row>
    <row r="33" spans="1:29" x14ac:dyDescent="0.25">
      <c r="A33" s="4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9"/>
        <v>0</v>
      </c>
      <c r="I33" s="413">
        <f t="shared" si="10"/>
        <v>5.8</v>
      </c>
      <c r="J33" s="737">
        <f>IF(Weather_Site!M31&lt;180,Weather_Site!M31+180,Weather_Site!M31-180)</f>
        <v>25</v>
      </c>
      <c r="K33" s="711">
        <f t="shared" si="11"/>
        <v>6.2976100000000006</v>
      </c>
      <c r="L33" s="711">
        <f t="shared" si="12"/>
        <v>8.0370000000000008</v>
      </c>
      <c r="M33" s="711">
        <f t="shared" si="13"/>
        <v>8.3654899999999994</v>
      </c>
      <c r="N33" s="711">
        <f t="shared" si="14"/>
        <v>8.3654899999999994</v>
      </c>
      <c r="O33" s="713">
        <f t="shared" si="15"/>
        <v>0.65846199504402303</v>
      </c>
      <c r="P33" s="711">
        <f>IF($O$11,Weather_Site!H31,IF(0.191*(Weather_Site!K31+104)*(Weather_Site!J31+1)^1.5/(3.52*(Weather_Site!J31+1)^1.5+Weather_Site!I31-1)&gt;10, 10,0.191*(Weather_Site!K31+104)*(Weather_Site!J31+1)^1.5/(3.52*(Weather_Site!J31+1)^1.5+Weather_Site!I31-1)))</f>
        <v>8.8000000000000007</v>
      </c>
      <c r="Q33" s="711">
        <f t="shared" si="16"/>
        <v>2.6220291327999981</v>
      </c>
      <c r="R33" s="713">
        <f t="shared" si="17"/>
        <v>9.9382586654383737E-2</v>
      </c>
      <c r="S33" s="713">
        <f t="shared" si="18"/>
        <v>6.5439656281081018E-2</v>
      </c>
      <c r="T33" s="711">
        <f t="shared" si="19"/>
        <v>1</v>
      </c>
      <c r="U33" s="716">
        <f t="shared" si="20"/>
        <v>30.264465572270719</v>
      </c>
      <c r="V33" s="716">
        <f t="shared" si="21"/>
        <v>99.321629401270144</v>
      </c>
      <c r="W33" s="716">
        <f t="shared" si="22"/>
        <v>189.1834680318552</v>
      </c>
      <c r="X33" s="713">
        <f t="shared" si="23"/>
        <v>1</v>
      </c>
      <c r="Y33" s="713">
        <f t="shared" si="24"/>
        <v>0</v>
      </c>
      <c r="Z33" s="710">
        <f t="shared" si="25"/>
        <v>99.321629401270144</v>
      </c>
      <c r="AA33" s="711">
        <f t="shared" si="26"/>
        <v>1.9289320939872099</v>
      </c>
      <c r="AB33" s="716">
        <f t="shared" si="27"/>
        <v>13.437094729323844</v>
      </c>
      <c r="AC33" s="719"/>
    </row>
    <row r="34" spans="1:29"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9"/>
        <v>0</v>
      </c>
      <c r="I34" s="27">
        <f t="shared" si="10"/>
        <v>4.8</v>
      </c>
      <c r="J34" s="738">
        <f>IF(Weather_Site!M32&lt;180,Weather_Site!M32+180,Weather_Site!M32-180)</f>
        <v>23</v>
      </c>
      <c r="K34" s="635">
        <f t="shared" si="11"/>
        <v>6.4241699999999993</v>
      </c>
      <c r="L34" s="635">
        <f t="shared" si="12"/>
        <v>8.2250999999999994</v>
      </c>
      <c r="M34" s="635">
        <f t="shared" si="13"/>
        <v>8.5823300000000007</v>
      </c>
      <c r="N34" s="635">
        <f t="shared" si="14"/>
        <v>8.5823300000000007</v>
      </c>
      <c r="O34" s="636">
        <f t="shared" si="15"/>
        <v>0.63872946964178212</v>
      </c>
      <c r="P34" s="635">
        <f>IF($O$11,Weather_Site!H32,IF(0.191*(Weather_Site!K32+104)*(Weather_Site!J32+1)^1.5/(3.52*(Weather_Site!J32+1)^1.5+Weather_Site!I32-1)&gt;10, 10,0.191*(Weather_Site!K32+104)*(Weather_Site!J32+1)^1.5/(3.52*(Weather_Site!J32+1)^1.5+Weather_Site!I32-1)))</f>
        <v>8.8000000000000007</v>
      </c>
      <c r="Q34" s="635">
        <f t="shared" si="16"/>
        <v>2.6220291327999981</v>
      </c>
      <c r="R34" s="636">
        <f t="shared" si="17"/>
        <v>9.9382586654383737E-2</v>
      </c>
      <c r="S34" s="636">
        <f t="shared" si="18"/>
        <v>6.3478586865382977E-2</v>
      </c>
      <c r="T34" s="635">
        <f t="shared" si="19"/>
        <v>1</v>
      </c>
      <c r="U34" s="707">
        <f t="shared" si="20"/>
        <v>24.015647167398548</v>
      </c>
      <c r="V34" s="707">
        <f t="shared" si="21"/>
        <v>79.443344043589818</v>
      </c>
      <c r="W34" s="707">
        <f t="shared" si="22"/>
        <v>146.47448649339412</v>
      </c>
      <c r="X34" s="636">
        <f t="shared" si="23"/>
        <v>1</v>
      </c>
      <c r="Y34" s="636">
        <f t="shared" si="24"/>
        <v>0</v>
      </c>
      <c r="Z34" s="637">
        <f t="shared" si="25"/>
        <v>79.443344043589818</v>
      </c>
      <c r="AA34" s="635">
        <f t="shared" si="26"/>
        <v>1.6413297088492833</v>
      </c>
      <c r="AB34" s="707">
        <f t="shared" si="27"/>
        <v>12.630905628909598</v>
      </c>
      <c r="AC34" s="644"/>
    </row>
    <row r="35" spans="1:29"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9"/>
        <v>0</v>
      </c>
      <c r="I35" s="27">
        <f t="shared" si="10"/>
        <v>4.8</v>
      </c>
      <c r="J35" s="738">
        <f>IF(Weather_Site!M33&lt;180,Weather_Site!M33+180,Weather_Site!M33-180)</f>
        <v>20</v>
      </c>
      <c r="K35" s="635">
        <f t="shared" si="11"/>
        <v>6.7566099999999993</v>
      </c>
      <c r="L35" s="635">
        <f t="shared" si="12"/>
        <v>8.7016000000000009</v>
      </c>
      <c r="M35" s="635">
        <f t="shared" si="13"/>
        <v>9.1352899999999995</v>
      </c>
      <c r="N35" s="635">
        <f t="shared" si="14"/>
        <v>9.1352899999999995</v>
      </c>
      <c r="O35" s="636">
        <f t="shared" si="15"/>
        <v>0.58906622083230475</v>
      </c>
      <c r="P35" s="635">
        <f>IF($O$11,Weather_Site!H33,IF(0.191*(Weather_Site!K33+104)*(Weather_Site!J33+1)^1.5/(3.52*(Weather_Site!J33+1)^1.5+Weather_Site!I33-1)&gt;10, 10,0.191*(Weather_Site!K33+104)*(Weather_Site!J33+1)^1.5/(3.52*(Weather_Site!J33+1)^1.5+Weather_Site!I33-1)))</f>
        <v>8.8000000000000007</v>
      </c>
      <c r="Q35" s="635">
        <f t="shared" si="16"/>
        <v>2.6220291327999981</v>
      </c>
      <c r="R35" s="636">
        <f t="shared" si="17"/>
        <v>9.9382586654383737E-2</v>
      </c>
      <c r="S35" s="636">
        <f t="shared" si="18"/>
        <v>5.8542924737036872E-2</v>
      </c>
      <c r="T35" s="635">
        <f t="shared" si="19"/>
        <v>1</v>
      </c>
      <c r="U35" s="707">
        <f t="shared" si="20"/>
        <v>22.148354178296241</v>
      </c>
      <c r="V35" s="707">
        <f t="shared" si="21"/>
        <v>73.26637124208996</v>
      </c>
      <c r="W35" s="707">
        <f t="shared" si="22"/>
        <v>135.08562906202877</v>
      </c>
      <c r="X35" s="636">
        <f t="shared" si="23"/>
        <v>1</v>
      </c>
      <c r="Y35" s="636">
        <f t="shared" si="24"/>
        <v>0</v>
      </c>
      <c r="Z35" s="637">
        <f t="shared" si="25"/>
        <v>73.26637124208996</v>
      </c>
      <c r="AA35" s="635">
        <f t="shared" si="26"/>
        <v>1.5480334156809308</v>
      </c>
      <c r="AB35" s="707">
        <f t="shared" si="27"/>
        <v>11.648812522591255</v>
      </c>
      <c r="AC35" s="644"/>
    </row>
    <row r="36" spans="1:29"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9"/>
        <v>0</v>
      </c>
      <c r="I36" s="27">
        <f t="shared" si="10"/>
        <v>4.2</v>
      </c>
      <c r="J36" s="738">
        <f>IF(Weather_Site!M34&lt;180,Weather_Site!M34+180,Weather_Site!M34-180)</f>
        <v>17</v>
      </c>
      <c r="K36" s="635">
        <f t="shared" si="11"/>
        <v>7.1157199999999996</v>
      </c>
      <c r="L36" s="635">
        <f t="shared" si="12"/>
        <v>9.2164000000000019</v>
      </c>
      <c r="M36" s="635">
        <f t="shared" si="13"/>
        <v>9.7326800000000002</v>
      </c>
      <c r="N36" s="635">
        <f t="shared" si="14"/>
        <v>9.7326800000000002</v>
      </c>
      <c r="O36" s="636">
        <f t="shared" si="15"/>
        <v>0.53704646170044446</v>
      </c>
      <c r="P36" s="635">
        <f>IF($O$11,Weather_Site!H34,IF(0.191*(Weather_Site!K34+104)*(Weather_Site!J34+1)^1.5/(3.52*(Weather_Site!J34+1)^1.5+Weather_Site!I34-1)&gt;10, 10,0.191*(Weather_Site!K34+104)*(Weather_Site!J34+1)^1.5/(3.52*(Weather_Site!J34+1)^1.5+Weather_Site!I34-1)))</f>
        <v>8.8000000000000007</v>
      </c>
      <c r="Q36" s="635">
        <f t="shared" si="16"/>
        <v>2.6220291327999981</v>
      </c>
      <c r="R36" s="636">
        <f t="shared" si="17"/>
        <v>9.9382586654383737E-2</v>
      </c>
      <c r="S36" s="636">
        <f t="shared" si="18"/>
        <v>5.3373066517374598E-2</v>
      </c>
      <c r="T36" s="635">
        <f t="shared" si="19"/>
        <v>1</v>
      </c>
      <c r="U36" s="707">
        <f t="shared" si="20"/>
        <v>17.456597350906936</v>
      </c>
      <c r="V36" s="707">
        <f t="shared" si="21"/>
        <v>57.959975080176712</v>
      </c>
      <c r="W36" s="707">
        <f t="shared" si="22"/>
        <v>105.04423995635462</v>
      </c>
      <c r="X36" s="636">
        <f t="shared" si="23"/>
        <v>1</v>
      </c>
      <c r="Y36" s="636">
        <f t="shared" si="24"/>
        <v>0</v>
      </c>
      <c r="Z36" s="637">
        <f t="shared" si="25"/>
        <v>57.959975080176712</v>
      </c>
      <c r="AA36" s="635">
        <f t="shared" si="26"/>
        <v>1.3067602859702407</v>
      </c>
      <c r="AB36" s="707">
        <f t="shared" si="27"/>
        <v>10.297771139253911</v>
      </c>
      <c r="AC36" s="644"/>
    </row>
    <row r="37" spans="1:29"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9"/>
        <v>0</v>
      </c>
      <c r="I37" s="27">
        <f t="shared" si="10"/>
        <v>3.6</v>
      </c>
      <c r="J37" s="738">
        <f>IF(Weather_Site!M35&lt;180,Weather_Site!M35+180,Weather_Site!M35-180)</f>
        <v>13</v>
      </c>
      <c r="K37" s="635">
        <f t="shared" si="11"/>
        <v>7.5932199999999996</v>
      </c>
      <c r="L37" s="635">
        <f t="shared" si="12"/>
        <v>9.8867000000000012</v>
      </c>
      <c r="M37" s="635">
        <f t="shared" si="13"/>
        <v>10.513580000000001</v>
      </c>
      <c r="N37" s="635">
        <f t="shared" si="14"/>
        <v>10.513580000000001</v>
      </c>
      <c r="O37" s="636">
        <f t="shared" si="15"/>
        <v>0.47272175467155969</v>
      </c>
      <c r="P37" s="635">
        <f>IF($O$11,Weather_Site!H35,IF(0.191*(Weather_Site!K35+104)*(Weather_Site!J35+1)^1.5/(3.52*(Weather_Site!J35+1)^1.5+Weather_Site!I35-1)&gt;10, 10,0.191*(Weather_Site!K35+104)*(Weather_Site!J35+1)^1.5/(3.52*(Weather_Site!J35+1)^1.5+Weather_Site!I35-1)))</f>
        <v>8.8000000000000007</v>
      </c>
      <c r="Q37" s="635">
        <f t="shared" si="16"/>
        <v>2.6220291327999981</v>
      </c>
      <c r="R37" s="636">
        <f t="shared" si="17"/>
        <v>9.9382586654383737E-2</v>
      </c>
      <c r="S37" s="636">
        <f t="shared" si="18"/>
        <v>4.6980310747058614E-2</v>
      </c>
      <c r="T37" s="635">
        <f t="shared" si="19"/>
        <v>1</v>
      </c>
      <c r="U37" s="707">
        <f t="shared" si="20"/>
        <v>12.923834706703916</v>
      </c>
      <c r="V37" s="707">
        <f t="shared" si="21"/>
        <v>42.979759160306507</v>
      </c>
      <c r="W37" s="707">
        <f t="shared" si="22"/>
        <v>76.950881810434964</v>
      </c>
      <c r="X37" s="636">
        <f t="shared" si="23"/>
        <v>1</v>
      </c>
      <c r="Y37" s="636">
        <f t="shared" si="24"/>
        <v>0</v>
      </c>
      <c r="Z37" s="637">
        <f t="shared" si="25"/>
        <v>42.979759160306507</v>
      </c>
      <c r="AA37" s="635">
        <f t="shared" si="26"/>
        <v>1.0526987363801454</v>
      </c>
      <c r="AB37" s="707">
        <f t="shared" si="27"/>
        <v>8.6527136334970418</v>
      </c>
      <c r="AC37" s="644"/>
    </row>
    <row r="38" spans="1:29"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9"/>
        <v>0</v>
      </c>
      <c r="I38" s="27">
        <f t="shared" si="10"/>
        <v>3</v>
      </c>
      <c r="J38" s="738">
        <f>IF(Weather_Site!M36&lt;180,Weather_Site!M36+180,Weather_Site!M36-180)</f>
        <v>10</v>
      </c>
      <c r="K38" s="635">
        <f t="shared" si="11"/>
        <v>8.0316500000000008</v>
      </c>
      <c r="L38" s="635">
        <f t="shared" si="12"/>
        <v>10.501800000000001</v>
      </c>
      <c r="M38" s="635">
        <f t="shared" si="13"/>
        <v>11.230250000000002</v>
      </c>
      <c r="N38" s="635">
        <f t="shared" si="14"/>
        <v>11.230250000000002</v>
      </c>
      <c r="O38" s="636">
        <f t="shared" si="15"/>
        <v>0.41835278490704364</v>
      </c>
      <c r="P38" s="635">
        <f>IF($O$11,Weather_Site!H36,IF(0.191*(Weather_Site!K36+104)*(Weather_Site!J36+1)^1.5/(3.52*(Weather_Site!J36+1)^1.5+Weather_Site!I36-1)&gt;10, 10,0.191*(Weather_Site!K36+104)*(Weather_Site!J36+1)^1.5/(3.52*(Weather_Site!J36+1)^1.5+Weather_Site!I36-1)))</f>
        <v>8.8000000000000007</v>
      </c>
      <c r="Q38" s="635">
        <f t="shared" si="16"/>
        <v>2.6220291327999981</v>
      </c>
      <c r="R38" s="636">
        <f t="shared" si="17"/>
        <v>9.9382586654383737E-2</v>
      </c>
      <c r="S38" s="636">
        <f t="shared" si="18"/>
        <v>4.1576981898127023E-2</v>
      </c>
      <c r="T38" s="635">
        <f t="shared" si="19"/>
        <v>1</v>
      </c>
      <c r="U38" s="707">
        <f t="shared" si="20"/>
        <v>9.2389491777577568</v>
      </c>
      <c r="V38" s="707">
        <f t="shared" si="21"/>
        <v>30.62803723141689</v>
      </c>
      <c r="W38" s="707">
        <f t="shared" si="22"/>
        <v>54.805436556915289</v>
      </c>
      <c r="X38" s="636">
        <f t="shared" si="23"/>
        <v>1</v>
      </c>
      <c r="Y38" s="636">
        <f t="shared" si="24"/>
        <v>0</v>
      </c>
      <c r="Z38" s="637">
        <f t="shared" si="25"/>
        <v>30.62803723141689</v>
      </c>
      <c r="AA38" s="635">
        <f t="shared" si="26"/>
        <v>0.82398328738165327</v>
      </c>
      <c r="AB38" s="707">
        <f t="shared" si="27"/>
        <v>7.1128744150991379</v>
      </c>
      <c r="AC38" s="644"/>
    </row>
    <row r="39" spans="1:29" x14ac:dyDescent="0.25">
      <c r="A39" s="4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9"/>
        <v>0</v>
      </c>
      <c r="I39" s="413">
        <f t="shared" si="10"/>
        <v>3</v>
      </c>
      <c r="J39" s="737">
        <f>IF(Weather_Site!M37&lt;180,Weather_Site!M37+180,Weather_Site!M37-180)</f>
        <v>9</v>
      </c>
      <c r="K39" s="711">
        <f t="shared" si="11"/>
        <v>8.4967499999999987</v>
      </c>
      <c r="L39" s="711">
        <f t="shared" si="12"/>
        <v>11.155200000000001</v>
      </c>
      <c r="M39" s="711">
        <f t="shared" si="13"/>
        <v>11.991350000000001</v>
      </c>
      <c r="N39" s="711">
        <f t="shared" si="14"/>
        <v>11.991350000000001</v>
      </c>
      <c r="O39" s="713">
        <f t="shared" si="15"/>
        <v>0.3663807591470567</v>
      </c>
      <c r="P39" s="711">
        <f>IF($O$11,Weather_Site!H37,IF(0.191*(Weather_Site!K37+104)*(Weather_Site!J37+1)^1.5/(3.52*(Weather_Site!J37+1)^1.5+Weather_Site!I37-1)&gt;10, 10,0.191*(Weather_Site!K37+104)*(Weather_Site!J37+1)^1.5/(3.52*(Weather_Site!J37+1)^1.5+Weather_Site!I37-1)))</f>
        <v>8.8000000000000007</v>
      </c>
      <c r="Q39" s="711">
        <f t="shared" si="16"/>
        <v>2.6220291327999981</v>
      </c>
      <c r="R39" s="713">
        <f t="shared" si="17"/>
        <v>9.9382586654383737E-2</v>
      </c>
      <c r="S39" s="713">
        <f t="shared" si="18"/>
        <v>3.6411867544431258E-2</v>
      </c>
      <c r="T39" s="711">
        <f t="shared" si="19"/>
        <v>1</v>
      </c>
      <c r="U39" s="716">
        <f t="shared" si="20"/>
        <v>8.0911932120162415</v>
      </c>
      <c r="V39" s="716">
        <f t="shared" si="21"/>
        <v>26.823111825404045</v>
      </c>
      <c r="W39" s="716">
        <f t="shared" si="22"/>
        <v>47.996949406157526</v>
      </c>
      <c r="X39" s="713">
        <f t="shared" si="23"/>
        <v>1</v>
      </c>
      <c r="Y39" s="713">
        <f t="shared" si="24"/>
        <v>0</v>
      </c>
      <c r="Z39" s="710">
        <f t="shared" si="25"/>
        <v>26.823111825404045</v>
      </c>
      <c r="AA39" s="711">
        <f t="shared" si="26"/>
        <v>0.74862852091448095</v>
      </c>
      <c r="AB39" s="716">
        <f t="shared" si="27"/>
        <v>6.2292410184403257</v>
      </c>
      <c r="AC39" s="719"/>
    </row>
    <row r="40" spans="1:29" x14ac:dyDescent="0.25">
      <c r="A40" s="4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9"/>
        <v>0</v>
      </c>
      <c r="I40" s="413">
        <f t="shared" si="10"/>
        <v>2.8</v>
      </c>
      <c r="J40" s="737">
        <f>IF(Weather_Site!M38&lt;180,Weather_Site!M38+180,Weather_Site!M38-180)</f>
        <v>5</v>
      </c>
      <c r="K40" s="711">
        <f t="shared" si="11"/>
        <v>9.1106499999999997</v>
      </c>
      <c r="L40" s="711">
        <f t="shared" si="12"/>
        <v>12.0114</v>
      </c>
      <c r="M40" s="711">
        <f t="shared" si="13"/>
        <v>12.990050000000002</v>
      </c>
      <c r="N40" s="711">
        <f t="shared" si="14"/>
        <v>12.0114</v>
      </c>
      <c r="O40" s="713">
        <f t="shared" si="15"/>
        <v>0.30821081022775787</v>
      </c>
      <c r="P40" s="711">
        <f>IF($O$11,Weather_Site!H38,IF(0.191*(Weather_Site!K38+104)*(Weather_Site!J38+1)^1.5/(3.52*(Weather_Site!J38+1)^1.5+Weather_Site!I38-1)&gt;10, 10,0.191*(Weather_Site!K38+104)*(Weather_Site!J38+1)^1.5/(3.52*(Weather_Site!J38+1)^1.5+Weather_Site!I38-1)))</f>
        <v>8.8000000000000007</v>
      </c>
      <c r="Q40" s="711">
        <f t="shared" si="16"/>
        <v>2.6220291327999981</v>
      </c>
      <c r="R40" s="713">
        <f t="shared" si="17"/>
        <v>9.9382586654383737E-2</v>
      </c>
      <c r="S40" s="713">
        <f t="shared" si="18"/>
        <v>3.0630787555277969E-2</v>
      </c>
      <c r="T40" s="711">
        <f t="shared" si="19"/>
        <v>1</v>
      </c>
      <c r="U40" s="716">
        <f t="shared" si="20"/>
        <v>6.2591153733230449</v>
      </c>
      <c r="V40" s="716">
        <f t="shared" si="21"/>
        <v>20.684397098915376</v>
      </c>
      <c r="W40" s="716">
        <f t="shared" si="22"/>
        <v>37.190691681987353</v>
      </c>
      <c r="X40" s="713">
        <f t="shared" si="23"/>
        <v>1</v>
      </c>
      <c r="Y40" s="713">
        <f t="shared" si="24"/>
        <v>0</v>
      </c>
      <c r="Z40" s="710">
        <f t="shared" si="25"/>
        <v>20.684397098915376</v>
      </c>
      <c r="AA40" s="711">
        <f t="shared" si="26"/>
        <v>0.62038892814189761</v>
      </c>
      <c r="AB40" s="716">
        <f t="shared" si="27"/>
        <v>5.0627562901202703</v>
      </c>
      <c r="AC40" s="719"/>
    </row>
    <row r="41" spans="1:29" x14ac:dyDescent="0.25">
      <c r="A41" s="4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9"/>
        <v>0</v>
      </c>
      <c r="I41" s="413">
        <f t="shared" si="10"/>
        <v>3.2</v>
      </c>
      <c r="J41" s="737">
        <f>IF(Weather_Site!M39&lt;180,Weather_Site!M39+180,Weather_Site!M39-180)</f>
        <v>1</v>
      </c>
      <c r="K41" s="711">
        <f t="shared" si="11"/>
        <v>8.7590199999999996</v>
      </c>
      <c r="L41" s="711">
        <f t="shared" si="12"/>
        <v>11.5146</v>
      </c>
      <c r="M41" s="711">
        <f t="shared" si="13"/>
        <v>12.41198</v>
      </c>
      <c r="N41" s="711">
        <f t="shared" si="14"/>
        <v>11.5146</v>
      </c>
      <c r="O41" s="713">
        <f t="shared" si="15"/>
        <v>0.34044563208119372</v>
      </c>
      <c r="P41" s="711">
        <f>IF($O$11,Weather_Site!H39,IF(0.191*(Weather_Site!K39+104)*(Weather_Site!J39+1)^1.5/(3.52*(Weather_Site!J39+1)^1.5+Weather_Site!I39-1)&gt;10, 10,0.191*(Weather_Site!K39+104)*(Weather_Site!J39+1)^1.5/(3.52*(Weather_Site!J39+1)^1.5+Weather_Site!I39-1)))</f>
        <v>8.8000000000000007</v>
      </c>
      <c r="Q41" s="711">
        <f t="shared" si="16"/>
        <v>2.6220291327999981</v>
      </c>
      <c r="R41" s="713">
        <f t="shared" si="17"/>
        <v>9.9382586654383737E-2</v>
      </c>
      <c r="S41" s="713">
        <f t="shared" si="18"/>
        <v>3.3834367531415679E-2</v>
      </c>
      <c r="T41" s="711">
        <f t="shared" si="19"/>
        <v>1</v>
      </c>
      <c r="U41" s="716">
        <f t="shared" si="20"/>
        <v>8.1186918209958314</v>
      </c>
      <c r="V41" s="716">
        <f t="shared" si="21"/>
        <v>26.965085070098525</v>
      </c>
      <c r="W41" s="716">
        <f t="shared" si="22"/>
        <v>48.163584544512837</v>
      </c>
      <c r="X41" s="713">
        <f t="shared" si="23"/>
        <v>1</v>
      </c>
      <c r="Y41" s="713">
        <f t="shared" si="24"/>
        <v>0</v>
      </c>
      <c r="Z41" s="710">
        <f t="shared" si="25"/>
        <v>26.965085070098525</v>
      </c>
      <c r="AA41" s="711">
        <f t="shared" si="26"/>
        <v>0.75149127631832369</v>
      </c>
      <c r="AB41" s="716">
        <f t="shared" si="27"/>
        <v>5.9572916821532607</v>
      </c>
      <c r="AC41" s="719"/>
    </row>
    <row r="42" spans="1:29" x14ac:dyDescent="0.25">
      <c r="A42" s="4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9"/>
        <v>0</v>
      </c>
      <c r="I42" s="413">
        <f t="shared" si="10"/>
        <v>4.2</v>
      </c>
      <c r="J42" s="737">
        <f>IF(Weather_Site!M40&lt;180,Weather_Site!M40+180,Weather_Site!M40-180)</f>
        <v>358</v>
      </c>
      <c r="K42" s="711">
        <f t="shared" si="11"/>
        <v>7.9329400000000003</v>
      </c>
      <c r="L42" s="711">
        <f t="shared" si="12"/>
        <v>10.341900000000001</v>
      </c>
      <c r="M42" s="711">
        <f t="shared" si="13"/>
        <v>11.048660000000002</v>
      </c>
      <c r="N42" s="711">
        <f t="shared" si="14"/>
        <v>10.341900000000001</v>
      </c>
      <c r="O42" s="713">
        <f t="shared" si="15"/>
        <v>0.43165805960075665</v>
      </c>
      <c r="P42" s="711">
        <f>IF($O$11,Weather_Site!H40,IF(0.191*(Weather_Site!K40+104)*(Weather_Site!J40+1)^1.5/(3.52*(Weather_Site!J40+1)^1.5+Weather_Site!I40-1)&gt;10, 10,0.191*(Weather_Site!K40+104)*(Weather_Site!J40+1)^1.5/(3.52*(Weather_Site!J40+1)^1.5+Weather_Site!I40-1)))</f>
        <v>8.8000000000000007</v>
      </c>
      <c r="Q42" s="711">
        <f t="shared" si="16"/>
        <v>2.6220291327999981</v>
      </c>
      <c r="R42" s="713">
        <f t="shared" si="17"/>
        <v>9.9382586654383737E-2</v>
      </c>
      <c r="S42" s="713">
        <f t="shared" si="18"/>
        <v>4.2899294513335337E-2</v>
      </c>
      <c r="T42" s="711">
        <f t="shared" si="19"/>
        <v>1</v>
      </c>
      <c r="U42" s="716">
        <f t="shared" si="20"/>
        <v>14.030966549645102</v>
      </c>
      <c r="V42" s="716">
        <f t="shared" si="21"/>
        <v>46.586081767302304</v>
      </c>
      <c r="W42" s="716">
        <f t="shared" si="22"/>
        <v>84.430670389721286</v>
      </c>
      <c r="X42" s="713">
        <f t="shared" si="23"/>
        <v>1</v>
      </c>
      <c r="Y42" s="713">
        <f t="shared" si="24"/>
        <v>0</v>
      </c>
      <c r="Z42" s="710">
        <f t="shared" si="25"/>
        <v>46.586081767302304</v>
      </c>
      <c r="AA42" s="711">
        <f t="shared" si="26"/>
        <v>1.1158439609356996</v>
      </c>
      <c r="AB42" s="716">
        <f t="shared" si="27"/>
        <v>8.276967125169195</v>
      </c>
      <c r="AC42" s="719"/>
    </row>
    <row r="43" spans="1:29" x14ac:dyDescent="0.25">
      <c r="A43" s="4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9"/>
        <v>0</v>
      </c>
      <c r="I43" s="413">
        <f t="shared" si="10"/>
        <v>2.8</v>
      </c>
      <c r="J43" s="737">
        <f>IF(Weather_Site!M41&lt;180,Weather_Site!M41+180,Weather_Site!M41-180)</f>
        <v>357</v>
      </c>
      <c r="K43" s="711">
        <f t="shared" si="11"/>
        <v>7.3754299999999997</v>
      </c>
      <c r="L43" s="711">
        <f t="shared" si="12"/>
        <v>9.5566999999999993</v>
      </c>
      <c r="M43" s="711">
        <f t="shared" si="13"/>
        <v>10.13447</v>
      </c>
      <c r="N43" s="711">
        <f t="shared" si="14"/>
        <v>9.5566999999999993</v>
      </c>
      <c r="O43" s="713">
        <f t="shared" si="15"/>
        <v>0.50335642400487512</v>
      </c>
      <c r="P43" s="711">
        <f>IF($O$11,Weather_Site!H41,IF(0.191*(Weather_Site!K41+104)*(Weather_Site!J41+1)^1.5/(3.52*(Weather_Site!J41+1)^1.5+Weather_Site!I41-1)&gt;10, 10,0.191*(Weather_Site!K41+104)*(Weather_Site!J41+1)^1.5/(3.52*(Weather_Site!J41+1)^1.5+Weather_Site!I41-1)))</f>
        <v>8.8000000000000007</v>
      </c>
      <c r="Q43" s="711">
        <f t="shared" si="16"/>
        <v>2.6220291327999981</v>
      </c>
      <c r="R43" s="713">
        <f t="shared" si="17"/>
        <v>9.9382586654383737E-2</v>
      </c>
      <c r="S43" s="713">
        <f t="shared" si="18"/>
        <v>5.0024863426705223E-2</v>
      </c>
      <c r="T43" s="711">
        <f t="shared" si="19"/>
        <v>1</v>
      </c>
      <c r="U43" s="716">
        <f t="shared" si="20"/>
        <v>10.222113654682197</v>
      </c>
      <c r="V43" s="716">
        <f t="shared" si="21"/>
        <v>33.780853269594928</v>
      </c>
      <c r="W43" s="716">
        <f t="shared" si="22"/>
        <v>60.738212126561692</v>
      </c>
      <c r="X43" s="713">
        <f t="shared" si="23"/>
        <v>1</v>
      </c>
      <c r="Y43" s="713">
        <f t="shared" si="24"/>
        <v>0</v>
      </c>
      <c r="Z43" s="710">
        <f t="shared" si="25"/>
        <v>33.780853269594928</v>
      </c>
      <c r="AA43" s="711">
        <f t="shared" si="26"/>
        <v>0.88446998739445848</v>
      </c>
      <c r="AB43" s="716">
        <f t="shared" si="27"/>
        <v>8.2682722903845036</v>
      </c>
      <c r="AC43" s="719"/>
    </row>
    <row r="44" spans="1:29"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9"/>
        <v>0</v>
      </c>
      <c r="I44" s="27">
        <f t="shared" si="10"/>
        <v>3.6</v>
      </c>
      <c r="J44" s="738">
        <f>IF(Weather_Site!M42&lt;180,Weather_Site!M42+180,Weather_Site!M42-180)</f>
        <v>356</v>
      </c>
      <c r="K44" s="635">
        <f t="shared" si="11"/>
        <v>6.5711000000000004</v>
      </c>
      <c r="L44" s="635">
        <f t="shared" si="12"/>
        <v>8.4234000000000009</v>
      </c>
      <c r="M44" s="635">
        <f t="shared" si="13"/>
        <v>8.815100000000001</v>
      </c>
      <c r="N44" s="635">
        <f t="shared" si="14"/>
        <v>8.4234000000000009</v>
      </c>
      <c r="O44" s="636">
        <f t="shared" si="15"/>
        <v>0.61768712489958233</v>
      </c>
      <c r="P44" s="635">
        <f>IF($O$11,Weather_Site!H42,IF(0.191*(Weather_Site!K42+104)*(Weather_Site!J42+1)^1.5/(3.52*(Weather_Site!J42+1)^1.5+Weather_Site!I42-1)&gt;10, 10,0.191*(Weather_Site!K42+104)*(Weather_Site!J42+1)^1.5/(3.52*(Weather_Site!J42+1)^1.5+Weather_Site!I42-1)))</f>
        <v>8.8000000000000007</v>
      </c>
      <c r="Q44" s="635">
        <f t="shared" si="16"/>
        <v>2.6220291327999981</v>
      </c>
      <c r="R44" s="636">
        <f t="shared" si="17"/>
        <v>9.9382586654383737E-2</v>
      </c>
      <c r="S44" s="636">
        <f t="shared" si="18"/>
        <v>6.1387344215629892E-2</v>
      </c>
      <c r="T44" s="635">
        <f t="shared" si="19"/>
        <v>1</v>
      </c>
      <c r="U44" s="707">
        <f t="shared" si="20"/>
        <v>16.887071990599996</v>
      </c>
      <c r="V44" s="707">
        <f t="shared" si="21"/>
        <v>56.159979104518712</v>
      </c>
      <c r="W44" s="707">
        <f t="shared" si="22"/>
        <v>100.54872337533818</v>
      </c>
      <c r="X44" s="636">
        <f t="shared" si="23"/>
        <v>1</v>
      </c>
      <c r="Y44" s="636">
        <f t="shared" si="24"/>
        <v>0</v>
      </c>
      <c r="Z44" s="637">
        <f t="shared" si="25"/>
        <v>56.159979104518712</v>
      </c>
      <c r="AA44" s="635">
        <f t="shared" si="26"/>
        <v>1.2772912047096217</v>
      </c>
      <c r="AB44" s="707">
        <f t="shared" si="27"/>
        <v>11.306164258439102</v>
      </c>
      <c r="AC44" s="644"/>
    </row>
    <row r="45" spans="1:29"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9"/>
        <v>0</v>
      </c>
      <c r="I45" s="27">
        <f t="shared" si="10"/>
        <v>3.2</v>
      </c>
      <c r="J45" s="738">
        <f>IF(Weather_Site!M43&lt;180,Weather_Site!M43+180,Weather_Site!M43-180)</f>
        <v>346</v>
      </c>
      <c r="K45" s="635">
        <f t="shared" si="11"/>
        <v>6.084249999999999</v>
      </c>
      <c r="L45" s="635">
        <f t="shared" si="12"/>
        <v>7.7305999999999999</v>
      </c>
      <c r="M45" s="635">
        <f t="shared" si="13"/>
        <v>8.0100499999999997</v>
      </c>
      <c r="N45" s="635">
        <f t="shared" si="14"/>
        <v>7.7305999999999999</v>
      </c>
      <c r="O45" s="636">
        <f t="shared" si="15"/>
        <v>0.69096722971738211</v>
      </c>
      <c r="P45" s="635">
        <f>IF($O$11,Weather_Site!H43,IF(0.191*(Weather_Site!K43+104)*(Weather_Site!J43+1)^1.5/(3.52*(Weather_Site!J43+1)^1.5+Weather_Site!I43-1)&gt;10, 10,0.191*(Weather_Site!K43+104)*(Weather_Site!J43+1)^1.5/(3.52*(Weather_Site!J43+1)^1.5+Weather_Site!I43-1)))</f>
        <v>8.8000000000000007</v>
      </c>
      <c r="Q45" s="635">
        <f t="shared" si="16"/>
        <v>2.6220291327999981</v>
      </c>
      <c r="R45" s="636">
        <f t="shared" si="17"/>
        <v>9.9382586654383737E-2</v>
      </c>
      <c r="S45" s="636">
        <f t="shared" si="18"/>
        <v>6.8670110582727206E-2</v>
      </c>
      <c r="T45" s="635">
        <f t="shared" si="19"/>
        <v>1</v>
      </c>
      <c r="U45" s="707">
        <f t="shared" si="20"/>
        <v>16.477667703325903</v>
      </c>
      <c r="V45" s="707">
        <f t="shared" si="21"/>
        <v>54.728239619581693</v>
      </c>
      <c r="W45" s="707">
        <f t="shared" si="22"/>
        <v>97.752637866254247</v>
      </c>
      <c r="X45" s="636">
        <f t="shared" si="23"/>
        <v>1</v>
      </c>
      <c r="Y45" s="636">
        <f t="shared" si="24"/>
        <v>0</v>
      </c>
      <c r="Z45" s="637">
        <f t="shared" si="25"/>
        <v>54.728239619581693</v>
      </c>
      <c r="AA45" s="635">
        <f t="shared" si="26"/>
        <v>1.2536639716620679</v>
      </c>
      <c r="AB45" s="707">
        <f t="shared" si="27"/>
        <v>12.090897759716702</v>
      </c>
      <c r="AC45" s="644"/>
    </row>
    <row r="46" spans="1:29"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9"/>
        <v>0</v>
      </c>
      <c r="I46" s="27">
        <f t="shared" si="10"/>
        <v>3</v>
      </c>
      <c r="J46" s="738">
        <f>IF(Weather_Site!M44&lt;180,Weather_Site!M44+180,Weather_Site!M44-180)</f>
        <v>349</v>
      </c>
      <c r="K46" s="635">
        <f t="shared" si="11"/>
        <v>5.5297899999999993</v>
      </c>
      <c r="L46" s="635">
        <f t="shared" si="12"/>
        <v>6.9398000000000009</v>
      </c>
      <c r="M46" s="635">
        <f t="shared" si="13"/>
        <v>7.0915100000000013</v>
      </c>
      <c r="N46" s="635">
        <f t="shared" si="14"/>
        <v>6.9398000000000009</v>
      </c>
      <c r="O46" s="636">
        <f t="shared" si="15"/>
        <v>0.77459492833756671</v>
      </c>
      <c r="P46" s="635">
        <f>IF($O$11,Weather_Site!H44,IF(0.191*(Weather_Site!K44+104)*(Weather_Site!J44+1)^1.5/(3.52*(Weather_Site!J44+1)^1.5+Weather_Site!I44-1)&gt;10, 10,0.191*(Weather_Site!K44+104)*(Weather_Site!J44+1)^1.5/(3.52*(Weather_Site!J44+1)^1.5+Weather_Site!I44-1)))</f>
        <v>8.8000000000000007</v>
      </c>
      <c r="Q46" s="635">
        <f t="shared" si="16"/>
        <v>2.6220291327999981</v>
      </c>
      <c r="R46" s="636">
        <f t="shared" si="17"/>
        <v>9.9382586654383737E-2</v>
      </c>
      <c r="S46" s="636">
        <f t="shared" si="18"/>
        <v>7.6981247587554383E-2</v>
      </c>
      <c r="T46" s="635">
        <f t="shared" si="19"/>
        <v>1</v>
      </c>
      <c r="U46" s="707">
        <f t="shared" si="20"/>
        <v>17.106240078812487</v>
      </c>
      <c r="V46" s="707">
        <f t="shared" si="21"/>
        <v>56.708890583006742</v>
      </c>
      <c r="W46" s="707">
        <f t="shared" si="22"/>
        <v>101.4741976959602</v>
      </c>
      <c r="X46" s="636">
        <f t="shared" si="23"/>
        <v>1</v>
      </c>
      <c r="Y46" s="636">
        <f t="shared" si="24"/>
        <v>0</v>
      </c>
      <c r="Z46" s="637">
        <f t="shared" si="25"/>
        <v>56.708890583006742</v>
      </c>
      <c r="AA46" s="635">
        <f t="shared" si="26"/>
        <v>1.2863052082301925</v>
      </c>
      <c r="AB46" s="707">
        <f t="shared" si="27"/>
        <v>13.16973771087012</v>
      </c>
      <c r="AC46" s="644"/>
    </row>
    <row r="47" spans="1:29"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9"/>
        <v>0</v>
      </c>
      <c r="I47" s="27">
        <f t="shared" si="10"/>
        <v>2.8</v>
      </c>
      <c r="J47" s="738">
        <f>IF(Weather_Site!M45&lt;180,Weather_Site!M45+180,Weather_Site!M45-180)</f>
        <v>5</v>
      </c>
      <c r="K47" s="635">
        <f t="shared" si="11"/>
        <v>5.0639999999999992</v>
      </c>
      <c r="L47" s="635">
        <f t="shared" si="12"/>
        <v>6.2718000000000007</v>
      </c>
      <c r="M47" s="635">
        <f t="shared" si="13"/>
        <v>6.3163999999999998</v>
      </c>
      <c r="N47" s="635">
        <f t="shared" si="14"/>
        <v>5.0639999999999992</v>
      </c>
      <c r="O47" s="636">
        <f t="shared" si="15"/>
        <v>0.84253837320032832</v>
      </c>
      <c r="P47" s="635">
        <f>IF($O$11,Weather_Site!H45,IF(0.191*(Weather_Site!K45+104)*(Weather_Site!J45+1)^1.5/(3.52*(Weather_Site!J45+1)^1.5+Weather_Site!I45-1)&gt;10, 10,0.191*(Weather_Site!K45+104)*(Weather_Site!J45+1)^1.5/(3.52*(Weather_Site!J45+1)^1.5+Weather_Site!I45-1)))</f>
        <v>8.8000000000000007</v>
      </c>
      <c r="Q47" s="635">
        <f t="shared" si="16"/>
        <v>2.6220291327999981</v>
      </c>
      <c r="R47" s="636">
        <f t="shared" si="17"/>
        <v>9.9382586654383737E-2</v>
      </c>
      <c r="S47" s="636">
        <f t="shared" si="18"/>
        <v>8.3733642884225135E-2</v>
      </c>
      <c r="T47" s="635">
        <f t="shared" si="19"/>
        <v>1</v>
      </c>
      <c r="U47" s="707">
        <f t="shared" si="20"/>
        <v>17.110187927593405</v>
      </c>
      <c r="V47" s="707">
        <f t="shared" si="21"/>
        <v>56.543760647043705</v>
      </c>
      <c r="W47" s="707">
        <f t="shared" si="22"/>
        <v>101.6660799301016</v>
      </c>
      <c r="X47" s="636">
        <f t="shared" si="23"/>
        <v>1</v>
      </c>
      <c r="Y47" s="636">
        <f t="shared" si="24"/>
        <v>0</v>
      </c>
      <c r="Z47" s="637">
        <f t="shared" si="25"/>
        <v>56.543760647043705</v>
      </c>
      <c r="AA47" s="635">
        <f t="shared" si="26"/>
        <v>1.283596062805296</v>
      </c>
      <c r="AB47" s="707">
        <f t="shared" si="27"/>
        <v>13.839769102957632</v>
      </c>
      <c r="AC47" s="644"/>
    </row>
    <row r="48" spans="1:29"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9"/>
        <v>0</v>
      </c>
      <c r="I48" s="27">
        <f t="shared" si="10"/>
        <v>2.6</v>
      </c>
      <c r="J48" s="738">
        <f>IF(Weather_Site!M46&lt;180,Weather_Site!M46+180,Weather_Site!M46-180)</f>
        <v>19</v>
      </c>
      <c r="K48" s="635">
        <f t="shared" si="11"/>
        <v>4.6049999999999995</v>
      </c>
      <c r="L48" s="635">
        <f t="shared" si="12"/>
        <v>5.6072000000000006</v>
      </c>
      <c r="M48" s="635">
        <f t="shared" si="13"/>
        <v>5.5466000000000006</v>
      </c>
      <c r="N48" s="635">
        <f t="shared" si="14"/>
        <v>4.6049999999999995</v>
      </c>
      <c r="O48" s="636">
        <f t="shared" si="15"/>
        <v>0.90494770113734302</v>
      </c>
      <c r="P48" s="635">
        <f>IF($O$11,Weather_Site!H46,IF(0.191*(Weather_Site!K46+104)*(Weather_Site!J46+1)^1.5/(3.52*(Weather_Site!J46+1)^1.5+Weather_Site!I46-1)&gt;10, 10,0.191*(Weather_Site!K46+104)*(Weather_Site!J46+1)^1.5/(3.52*(Weather_Site!J46+1)^1.5+Weather_Site!I46-1)))</f>
        <v>8.8000000000000007</v>
      </c>
      <c r="Q48" s="635">
        <f t="shared" si="16"/>
        <v>2.6220291327999981</v>
      </c>
      <c r="R48" s="636">
        <f t="shared" si="17"/>
        <v>9.9382586654383737E-2</v>
      </c>
      <c r="S48" s="636">
        <f t="shared" si="18"/>
        <v>8.9936043325967344E-2</v>
      </c>
      <c r="T48" s="635">
        <f t="shared" si="19"/>
        <v>1</v>
      </c>
      <c r="U48" s="707">
        <f t="shared" si="20"/>
        <v>16.756967213872439</v>
      </c>
      <c r="V48" s="707">
        <f t="shared" si="21"/>
        <v>55.103902178910801</v>
      </c>
      <c r="W48" s="707">
        <f t="shared" si="22"/>
        <v>99.969817646280021</v>
      </c>
      <c r="X48" s="636">
        <f t="shared" si="23"/>
        <v>1</v>
      </c>
      <c r="Y48" s="636">
        <f t="shared" si="24"/>
        <v>0</v>
      </c>
      <c r="Z48" s="637">
        <f t="shared" si="25"/>
        <v>55.103902178910801</v>
      </c>
      <c r="AA48" s="635">
        <f t="shared" si="26"/>
        <v>1.2598797283513958</v>
      </c>
      <c r="AB48" s="707">
        <f t="shared" si="27"/>
        <v>14.256416790569904</v>
      </c>
      <c r="AC48" s="644"/>
    </row>
    <row r="49" spans="1:29" x14ac:dyDescent="0.25">
      <c r="A49" s="4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9"/>
        <v>0</v>
      </c>
      <c r="I49" s="413">
        <f t="shared" si="10"/>
        <v>2.2000000000000002</v>
      </c>
      <c r="J49" s="737">
        <f>IF(Weather_Site!M47&lt;180,Weather_Site!M47+180,Weather_Site!M47-180)</f>
        <v>24</v>
      </c>
      <c r="K49" s="711">
        <f t="shared" si="11"/>
        <v>4.3041500000000008</v>
      </c>
      <c r="L49" s="711">
        <f t="shared" si="12"/>
        <v>5.1679000000000004</v>
      </c>
      <c r="M49" s="711">
        <f t="shared" si="13"/>
        <v>5.0385500000000008</v>
      </c>
      <c r="N49" s="711">
        <f t="shared" si="14"/>
        <v>4.3041500000000008</v>
      </c>
      <c r="O49" s="713">
        <f t="shared" si="15"/>
        <v>0.94200845775533337</v>
      </c>
      <c r="P49" s="711">
        <f>IF($O$11,Weather_Site!H47,IF(0.191*(Weather_Site!K47+104)*(Weather_Site!J47+1)^1.5/(3.52*(Weather_Site!J47+1)^1.5+Weather_Site!I47-1)&gt;10, 10,0.191*(Weather_Site!K47+104)*(Weather_Site!J47+1)^1.5/(3.52*(Weather_Site!J47+1)^1.5+Weather_Site!I47-1)))</f>
        <v>8.8000000000000007</v>
      </c>
      <c r="Q49" s="711">
        <f t="shared" si="16"/>
        <v>2.6220291327999981</v>
      </c>
      <c r="R49" s="713">
        <f t="shared" si="17"/>
        <v>9.9382586654383737E-2</v>
      </c>
      <c r="S49" s="713">
        <f t="shared" si="18"/>
        <v>9.36192371820318E-2</v>
      </c>
      <c r="T49" s="711">
        <f t="shared" si="19"/>
        <v>1</v>
      </c>
      <c r="U49" s="716">
        <f t="shared" si="20"/>
        <v>14.019825507344061</v>
      </c>
      <c r="V49" s="716">
        <f t="shared" si="21"/>
        <v>45.232751855021164</v>
      </c>
      <c r="W49" s="716">
        <f t="shared" si="22"/>
        <v>85.2848838108618</v>
      </c>
      <c r="X49" s="713">
        <f t="shared" si="23"/>
        <v>1</v>
      </c>
      <c r="Y49" s="713">
        <f t="shared" si="24"/>
        <v>0</v>
      </c>
      <c r="Z49" s="710">
        <f t="shared" si="25"/>
        <v>45.232751855021164</v>
      </c>
      <c r="AA49" s="711">
        <f t="shared" si="26"/>
        <v>1.0923121692668964</v>
      </c>
      <c r="AB49" s="716">
        <f t="shared" si="27"/>
        <v>13.208956855221691</v>
      </c>
      <c r="AC49" s="719"/>
    </row>
    <row r="50" spans="1:29" x14ac:dyDescent="0.25">
      <c r="A50" s="4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9"/>
        <v>0</v>
      </c>
      <c r="I50" s="413">
        <f t="shared" si="10"/>
        <v>2.4</v>
      </c>
      <c r="J50" s="737">
        <f>IF(Weather_Site!M48&lt;180,Weather_Site!M48+180,Weather_Site!M48-180)</f>
        <v>29</v>
      </c>
      <c r="K50" s="711">
        <f t="shared" si="11"/>
        <v>4.2110500000000002</v>
      </c>
      <c r="L50" s="711">
        <f t="shared" si="12"/>
        <v>5.0215000000000005</v>
      </c>
      <c r="M50" s="711">
        <f t="shared" si="13"/>
        <v>4.8714500000000003</v>
      </c>
      <c r="N50" s="711">
        <f t="shared" si="14"/>
        <v>4.2110500000000002</v>
      </c>
      <c r="O50" s="713">
        <f t="shared" si="15"/>
        <v>0.95330156193662319</v>
      </c>
      <c r="P50" s="711">
        <f>IF($O$11,Weather_Site!H48,IF(0.191*(Weather_Site!K48+104)*(Weather_Site!J48+1)^1.5/(3.52*(Weather_Site!J48+1)^1.5+Weather_Site!I48-1)&gt;10, 10,0.191*(Weather_Site!K48+104)*(Weather_Site!J48+1)^1.5/(3.52*(Weather_Site!J48+1)^1.5+Weather_Site!I48-1)))</f>
        <v>8.8000000000000007</v>
      </c>
      <c r="Q50" s="711">
        <f t="shared" si="16"/>
        <v>2.6220291327999981</v>
      </c>
      <c r="R50" s="713">
        <f t="shared" si="17"/>
        <v>9.9382586654383737E-2</v>
      </c>
      <c r="S50" s="713">
        <f t="shared" si="18"/>
        <v>9.4741575086925822E-2</v>
      </c>
      <c r="T50" s="711">
        <f t="shared" si="19"/>
        <v>1</v>
      </c>
      <c r="U50" s="716">
        <f t="shared" si="20"/>
        <v>15.929272779545462</v>
      </c>
      <c r="V50" s="716">
        <f t="shared" si="21"/>
        <v>51.988322847453091</v>
      </c>
      <c r="W50" s="716">
        <f t="shared" si="22"/>
        <v>95.733584758947359</v>
      </c>
      <c r="X50" s="713">
        <f t="shared" si="23"/>
        <v>1</v>
      </c>
      <c r="Y50" s="713">
        <f t="shared" si="24"/>
        <v>0</v>
      </c>
      <c r="Z50" s="710">
        <f t="shared" si="25"/>
        <v>51.988322847453091</v>
      </c>
      <c r="AA50" s="711">
        <f t="shared" si="26"/>
        <v>1.2079644253897126</v>
      </c>
      <c r="AB50" s="716">
        <f t="shared" si="27"/>
        <v>14.26369700599569</v>
      </c>
      <c r="AC50" s="719"/>
    </row>
    <row r="51" spans="1:29" x14ac:dyDescent="0.25">
      <c r="A51" s="4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si="29"/>
        <v>0</v>
      </c>
      <c r="I51" s="413">
        <f t="shared" si="10"/>
        <v>2.2000000000000002</v>
      </c>
      <c r="J51" s="737">
        <f>IF(Weather_Site!M49&lt;180,Weather_Site!M49+180,Weather_Site!M49-180)</f>
        <v>32</v>
      </c>
      <c r="K51" s="711">
        <f t="shared" si="11"/>
        <v>4.1111599999999999</v>
      </c>
      <c r="L51" s="711">
        <f t="shared" si="12"/>
        <v>4.8717000000000006</v>
      </c>
      <c r="M51" s="711">
        <f t="shared" si="13"/>
        <v>4.699040000000001</v>
      </c>
      <c r="N51" s="711">
        <f t="shared" si="14"/>
        <v>4.1111599999999999</v>
      </c>
      <c r="O51" s="713">
        <f t="shared" si="15"/>
        <v>0.96443120150015416</v>
      </c>
      <c r="P51" s="711">
        <f>IF($O$11,Weather_Site!H49,IF(0.191*(Weather_Site!K49+104)*(Weather_Site!J49+1)^1.5/(3.52*(Weather_Site!J49+1)^1.5+Weather_Site!I49-1)&gt;10, 10,0.191*(Weather_Site!K49+104)*(Weather_Site!J49+1)^1.5/(3.52*(Weather_Site!J49+1)^1.5+Weather_Site!I49-1)))</f>
        <v>8.8000000000000007</v>
      </c>
      <c r="Q51" s="711">
        <f t="shared" si="16"/>
        <v>2.6220291327999981</v>
      </c>
      <c r="R51" s="713">
        <f t="shared" si="17"/>
        <v>9.9382586654383737E-2</v>
      </c>
      <c r="S51" s="713">
        <f t="shared" si="18"/>
        <v>9.5847667455280491E-2</v>
      </c>
      <c r="T51" s="711">
        <f t="shared" si="19"/>
        <v>1</v>
      </c>
      <c r="U51" s="716">
        <f t="shared" si="20"/>
        <v>14.353541146636045</v>
      </c>
      <c r="V51" s="716">
        <f t="shared" si="21"/>
        <v>46.309432637840246</v>
      </c>
      <c r="W51" s="716">
        <f t="shared" si="22"/>
        <v>87.314930440755703</v>
      </c>
      <c r="X51" s="713">
        <f t="shared" si="23"/>
        <v>1</v>
      </c>
      <c r="Y51" s="713">
        <f t="shared" si="24"/>
        <v>0</v>
      </c>
      <c r="Z51" s="710">
        <f t="shared" si="25"/>
        <v>46.309432637840246</v>
      </c>
      <c r="AA51" s="711">
        <f t="shared" si="26"/>
        <v>1.11104913503223</v>
      </c>
      <c r="AB51" s="716">
        <f t="shared" si="27"/>
        <v>13.523371287770191</v>
      </c>
      <c r="AC51" s="719"/>
    </row>
    <row r="52" spans="1:29" x14ac:dyDescent="0.25">
      <c r="A52" s="4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ref="H52:H83" si="30">C$4</f>
        <v>0</v>
      </c>
      <c r="I52" s="413">
        <f t="shared" si="10"/>
        <v>2.2000000000000002</v>
      </c>
      <c r="J52" s="737">
        <f>IF(Weather_Site!M50&lt;180,Weather_Site!M50+180,Weather_Site!M50-180)</f>
        <v>31</v>
      </c>
      <c r="K52" s="711">
        <f t="shared" si="11"/>
        <v>4.18743</v>
      </c>
      <c r="L52" s="711">
        <f t="shared" si="12"/>
        <v>4.9776000000000007</v>
      </c>
      <c r="M52" s="711">
        <f t="shared" si="13"/>
        <v>4.8226700000000005</v>
      </c>
      <c r="N52" s="711">
        <f t="shared" si="14"/>
        <v>4.9776000000000007</v>
      </c>
      <c r="O52" s="713">
        <f t="shared" si="15"/>
        <v>0.95650582272049023</v>
      </c>
      <c r="P52" s="711">
        <f>IF($O$11,Weather_Site!H50,IF(0.191*(Weather_Site!K50+104)*(Weather_Site!J50+1)^1.5/(3.52*(Weather_Site!J50+1)^1.5+Weather_Site!I50-1)&gt;10, 10,0.191*(Weather_Site!K50+104)*(Weather_Site!J50+1)^1.5/(3.52*(Weather_Site!J50+1)^1.5+Weather_Site!I50-1)))</f>
        <v>8.8000000000000007</v>
      </c>
      <c r="Q52" s="711">
        <f t="shared" si="16"/>
        <v>2.6220291327999981</v>
      </c>
      <c r="R52" s="713">
        <f t="shared" si="17"/>
        <v>9.9382586654383737E-2</v>
      </c>
      <c r="S52" s="713">
        <f t="shared" si="18"/>
        <v>9.506002281194173E-2</v>
      </c>
      <c r="T52" s="711">
        <f t="shared" si="19"/>
        <v>1</v>
      </c>
      <c r="U52" s="716">
        <f t="shared" si="20"/>
        <v>14.235588460908296</v>
      </c>
      <c r="V52" s="716">
        <f t="shared" si="21"/>
        <v>45.928876933964922</v>
      </c>
      <c r="W52" s="716">
        <f t="shared" si="22"/>
        <v>86.597405027033517</v>
      </c>
      <c r="X52" s="713">
        <f t="shared" si="23"/>
        <v>1</v>
      </c>
      <c r="Y52" s="713">
        <f t="shared" si="24"/>
        <v>0</v>
      </c>
      <c r="Z52" s="710">
        <f t="shared" si="25"/>
        <v>45.928876933964922</v>
      </c>
      <c r="AA52" s="711">
        <f t="shared" si="26"/>
        <v>1.1044404343331744</v>
      </c>
      <c r="AB52" s="716">
        <f t="shared" si="27"/>
        <v>13.412240665215782</v>
      </c>
      <c r="AC52" s="719"/>
    </row>
    <row r="53" spans="1:29" x14ac:dyDescent="0.25">
      <c r="A53" s="4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30"/>
        <v>0</v>
      </c>
      <c r="I53" s="413">
        <f t="shared" si="10"/>
        <v>2</v>
      </c>
      <c r="J53" s="737">
        <f>IF(Weather_Site!M51&lt;180,Weather_Site!M51+180,Weather_Site!M51-180)</f>
        <v>28</v>
      </c>
      <c r="K53" s="711">
        <f t="shared" si="11"/>
        <v>4.2246299999999994</v>
      </c>
      <c r="L53" s="711">
        <f t="shared" si="12"/>
        <v>5.0282999999999998</v>
      </c>
      <c r="M53" s="711">
        <f t="shared" si="13"/>
        <v>4.8820700000000006</v>
      </c>
      <c r="N53" s="711">
        <f t="shared" si="14"/>
        <v>5.0282999999999998</v>
      </c>
      <c r="O53" s="713">
        <f t="shared" si="15"/>
        <v>0.95259830240957077</v>
      </c>
      <c r="P53" s="711">
        <f>IF($O$11,Weather_Site!H51,IF(0.191*(Weather_Site!K51+104)*(Weather_Site!J51+1)^1.5/(3.52*(Weather_Site!J51+1)^1.5+Weather_Site!I51-1)&gt;10, 10,0.191*(Weather_Site!K51+104)*(Weather_Site!J51+1)^1.5/(3.52*(Weather_Site!J51+1)^1.5+Weather_Site!I51-1)))</f>
        <v>8.8000000000000007</v>
      </c>
      <c r="Q53" s="711">
        <f t="shared" si="16"/>
        <v>2.6220291327999981</v>
      </c>
      <c r="R53" s="713">
        <f t="shared" si="17"/>
        <v>9.9382586654383737E-2</v>
      </c>
      <c r="S53" s="713">
        <f t="shared" si="18"/>
        <v>9.4671683336038009E-2</v>
      </c>
      <c r="T53" s="711">
        <f t="shared" si="19"/>
        <v>1</v>
      </c>
      <c r="U53" s="716">
        <f t="shared" si="20"/>
        <v>2.8401505000811402E-3</v>
      </c>
      <c r="V53" s="716">
        <f t="shared" si="21"/>
        <v>39.348560413406496</v>
      </c>
      <c r="W53" s="716">
        <f t="shared" si="22"/>
        <v>76.986891645525603</v>
      </c>
      <c r="X53" s="713">
        <f t="shared" si="23"/>
        <v>1</v>
      </c>
      <c r="Y53" s="713">
        <f t="shared" si="24"/>
        <v>0</v>
      </c>
      <c r="Z53" s="710">
        <f t="shared" si="25"/>
        <v>39.348560413406496</v>
      </c>
      <c r="AA53" s="711">
        <f t="shared" si="26"/>
        <v>0.98761528563450129</v>
      </c>
      <c r="AB53" s="716">
        <f t="shared" si="27"/>
        <v>12.281073786955835</v>
      </c>
      <c r="AC53" s="719"/>
    </row>
    <row r="54" spans="1:29"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30"/>
        <v>0</v>
      </c>
      <c r="I54" s="27">
        <f t="shared" si="10"/>
        <v>1.6</v>
      </c>
      <c r="J54" s="738">
        <f>IF(Weather_Site!M52&lt;180,Weather_Site!M52+180,Weather_Site!M52-180)</f>
        <v>22</v>
      </c>
      <c r="K54" s="635">
        <f t="shared" si="11"/>
        <v>4.4255899999999997</v>
      </c>
      <c r="L54" s="635">
        <f t="shared" si="12"/>
        <v>5.3178000000000001</v>
      </c>
      <c r="M54" s="635">
        <f t="shared" si="13"/>
        <v>5.2177100000000003</v>
      </c>
      <c r="N54" s="635">
        <f t="shared" si="14"/>
        <v>5.2177100000000003</v>
      </c>
      <c r="O54" s="636">
        <f t="shared" si="15"/>
        <v>0.92938423760054134</v>
      </c>
      <c r="P54" s="635">
        <f>IF($O$11,Weather_Site!H52,IF(0.191*(Weather_Site!K52+104)*(Weather_Site!J52+1)^1.5/(3.52*(Weather_Site!J52+1)^1.5+Weather_Site!I52-1)&gt;10, 10,0.191*(Weather_Site!K52+104)*(Weather_Site!J52+1)^1.5/(3.52*(Weather_Site!J52+1)^1.5+Weather_Site!I52-1)))</f>
        <v>8.8000000000000007</v>
      </c>
      <c r="Q54" s="635">
        <f t="shared" si="16"/>
        <v>2.6220291327999981</v>
      </c>
      <c r="R54" s="636">
        <f t="shared" si="17"/>
        <v>9.9382586654383737E-2</v>
      </c>
      <c r="S54" s="636">
        <f t="shared" si="18"/>
        <v>9.2364609528554159E-2</v>
      </c>
      <c r="T54" s="635">
        <f t="shared" si="19"/>
        <v>1</v>
      </c>
      <c r="U54" s="707">
        <f t="shared" si="20"/>
        <v>2.7709382858566245E-3</v>
      </c>
      <c r="V54" s="707">
        <f t="shared" si="21"/>
        <v>25.178859436716838</v>
      </c>
      <c r="W54" s="707">
        <f t="shared" si="22"/>
        <v>57.577834136884427</v>
      </c>
      <c r="X54" s="636">
        <f t="shared" si="23"/>
        <v>1</v>
      </c>
      <c r="Y54" s="636">
        <f t="shared" si="24"/>
        <v>0</v>
      </c>
      <c r="Z54" s="637">
        <f t="shared" si="25"/>
        <v>25.178859436716838</v>
      </c>
      <c r="AA54" s="635">
        <f t="shared" si="26"/>
        <v>0.71516015925168608</v>
      </c>
      <c r="AB54" s="707">
        <f t="shared" si="27"/>
        <v>9.1122102767504476</v>
      </c>
      <c r="AC54" s="644"/>
    </row>
    <row r="55" spans="1:29"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30"/>
        <v>0</v>
      </c>
      <c r="I55" s="27">
        <f t="shared" si="10"/>
        <v>1.2</v>
      </c>
      <c r="J55" s="738">
        <f>IF(Weather_Site!M53&lt;180,Weather_Site!M53+180,Weather_Site!M53-180)</f>
        <v>27</v>
      </c>
      <c r="K55" s="635">
        <f t="shared" si="11"/>
        <v>5.5338199999999986</v>
      </c>
      <c r="L55" s="635">
        <f t="shared" si="12"/>
        <v>6.8848000000000011</v>
      </c>
      <c r="M55" s="635">
        <f t="shared" si="13"/>
        <v>7.0407799999999998</v>
      </c>
      <c r="N55" s="635">
        <f t="shared" si="14"/>
        <v>7.0407799999999998</v>
      </c>
      <c r="O55" s="636">
        <f t="shared" si="15"/>
        <v>0.77914610406181672</v>
      </c>
      <c r="P55" s="635">
        <f>IF($O$11,Weather_Site!H53,IF(0.191*(Weather_Site!K53+104)*(Weather_Site!J53+1)^1.5/(3.52*(Weather_Site!J53+1)^1.5+Weather_Site!I53-1)&gt;10, 10,0.191*(Weather_Site!K53+104)*(Weather_Site!J53+1)^1.5/(3.52*(Weather_Site!J53+1)^1.5+Weather_Site!I53-1)))</f>
        <v>8.8000000000000007</v>
      </c>
      <c r="Q55" s="635">
        <f t="shared" si="16"/>
        <v>2.6220291327999981</v>
      </c>
      <c r="R55" s="636">
        <f t="shared" si="17"/>
        <v>9.9382586654383737E-2</v>
      </c>
      <c r="S55" s="636">
        <f t="shared" si="18"/>
        <v>7.7433555203348992E-2</v>
      </c>
      <c r="T55" s="635">
        <f t="shared" si="19"/>
        <v>1</v>
      </c>
      <c r="U55" s="707">
        <f t="shared" si="20"/>
        <v>2.3230066561004698E-3</v>
      </c>
      <c r="V55" s="707">
        <f t="shared" si="21"/>
        <v>8.5212911727065297</v>
      </c>
      <c r="W55" s="707">
        <f t="shared" si="22"/>
        <v>34.264303406705061</v>
      </c>
      <c r="X55" s="636">
        <f t="shared" si="23"/>
        <v>1</v>
      </c>
      <c r="Y55" s="636">
        <f t="shared" si="24"/>
        <v>0</v>
      </c>
      <c r="Z55" s="637">
        <f t="shared" si="25"/>
        <v>8.5212911727065297</v>
      </c>
      <c r="AA55" s="635">
        <f t="shared" si="26"/>
        <v>0.32674552922731548</v>
      </c>
      <c r="AB55" s="707">
        <f t="shared" si="27"/>
        <v>3.6691746351647132</v>
      </c>
      <c r="AC55" s="644"/>
    </row>
    <row r="56" spans="1:29"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30"/>
        <v>0</v>
      </c>
      <c r="I56" s="27">
        <f t="shared" si="10"/>
        <v>1.2</v>
      </c>
      <c r="J56" s="738">
        <f>IF(Weather_Site!M54&lt;180,Weather_Site!M54+180,Weather_Site!M54-180)</f>
        <v>17</v>
      </c>
      <c r="K56" s="635">
        <f t="shared" si="11"/>
        <v>6.1528400000000003</v>
      </c>
      <c r="L56" s="635">
        <f t="shared" si="12"/>
        <v>7.7792000000000012</v>
      </c>
      <c r="M56" s="635">
        <f t="shared" si="13"/>
        <v>8.0771599999999992</v>
      </c>
      <c r="N56" s="635">
        <f t="shared" si="14"/>
        <v>8.0771599999999992</v>
      </c>
      <c r="O56" s="636">
        <f t="shared" si="15"/>
        <v>0.68482166567154035</v>
      </c>
      <c r="P56" s="635">
        <f>IF($O$11,Weather_Site!H54,IF(0.191*(Weather_Site!K54+104)*(Weather_Site!J54+1)^1.5/(3.52*(Weather_Site!J54+1)^1.5+Weather_Site!I54-1)&gt;10, 10,0.191*(Weather_Site!K54+104)*(Weather_Site!J54+1)^1.5/(3.52*(Weather_Site!J54+1)^1.5+Weather_Site!I54-1)))</f>
        <v>8.8000000000000007</v>
      </c>
      <c r="Q56" s="635">
        <f t="shared" si="16"/>
        <v>2.6220291327999981</v>
      </c>
      <c r="R56" s="636">
        <f t="shared" si="17"/>
        <v>9.9382586654383737E-2</v>
      </c>
      <c r="S56" s="636">
        <f t="shared" si="18"/>
        <v>6.8059348531401262E-2</v>
      </c>
      <c r="T56" s="635">
        <f t="shared" si="19"/>
        <v>1</v>
      </c>
      <c r="U56" s="707">
        <f t="shared" si="20"/>
        <v>2.0417804559420376E-3</v>
      </c>
      <c r="V56" s="707">
        <f t="shared" si="21"/>
        <v>7.4896926059737963</v>
      </c>
      <c r="W56" s="707">
        <f t="shared" si="22"/>
        <v>30.116222374376537</v>
      </c>
      <c r="X56" s="636">
        <f t="shared" si="23"/>
        <v>1</v>
      </c>
      <c r="Y56" s="636">
        <f t="shared" si="24"/>
        <v>0</v>
      </c>
      <c r="Z56" s="637">
        <f t="shared" si="25"/>
        <v>7.4896926059737963</v>
      </c>
      <c r="AA56" s="635">
        <f t="shared" si="26"/>
        <v>0.29764028604383935</v>
      </c>
      <c r="AB56" s="707">
        <f t="shared" si="27"/>
        <v>3.2249795926514797</v>
      </c>
      <c r="AC56" s="644"/>
    </row>
    <row r="57" spans="1:29"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30"/>
        <v>0</v>
      </c>
      <c r="I57" s="27">
        <f t="shared" si="10"/>
        <v>1</v>
      </c>
      <c r="J57" s="738">
        <f>IF(Weather_Site!M55&lt;180,Weather_Site!M55+180,Weather_Site!M55-180)</f>
        <v>8</v>
      </c>
      <c r="K57" s="635">
        <f t="shared" si="11"/>
        <v>6.696769999999999</v>
      </c>
      <c r="L57" s="635">
        <f t="shared" si="12"/>
        <v>8.5576000000000008</v>
      </c>
      <c r="M57" s="635">
        <f t="shared" si="13"/>
        <v>8.9807299999999994</v>
      </c>
      <c r="N57" s="635">
        <f t="shared" si="14"/>
        <v>8.9807299999999994</v>
      </c>
      <c r="O57" s="636">
        <f t="shared" si="15"/>
        <v>0.60282869973953668</v>
      </c>
      <c r="P57" s="635">
        <f>IF($O$11,Weather_Site!H55,IF(0.191*(Weather_Site!K55+104)*(Weather_Site!J55+1)^1.5/(3.52*(Weather_Site!J55+1)^1.5+Weather_Site!I55-1)&gt;10, 10,0.191*(Weather_Site!K55+104)*(Weather_Site!J55+1)^1.5/(3.52*(Weather_Site!J55+1)^1.5+Weather_Site!I55-1)))</f>
        <v>8.8000000000000007</v>
      </c>
      <c r="Q57" s="635">
        <f t="shared" si="16"/>
        <v>2.6220291327999981</v>
      </c>
      <c r="R57" s="636">
        <f t="shared" si="17"/>
        <v>9.9382586654383737E-2</v>
      </c>
      <c r="S57" s="636">
        <f t="shared" si="18"/>
        <v>5.9910675489613978E-2</v>
      </c>
      <c r="T57" s="635">
        <f t="shared" si="19"/>
        <v>1</v>
      </c>
      <c r="U57" s="707">
        <f t="shared" si="20"/>
        <v>1.7973202646884192E-3</v>
      </c>
      <c r="V57" s="707">
        <f t="shared" si="21"/>
        <v>0</v>
      </c>
      <c r="W57" s="707">
        <f t="shared" si="22"/>
        <v>21.334864504491929</v>
      </c>
      <c r="X57" s="636">
        <f t="shared" si="23"/>
        <v>1</v>
      </c>
      <c r="Y57" s="636">
        <f t="shared" si="24"/>
        <v>0</v>
      </c>
      <c r="Z57" s="637">
        <f t="shared" si="25"/>
        <v>0</v>
      </c>
      <c r="AA57" s="635">
        <f t="shared" si="26"/>
        <v>0</v>
      </c>
      <c r="AB57" s="707">
        <f t="shared" si="27"/>
        <v>0</v>
      </c>
      <c r="AC57" s="644"/>
    </row>
    <row r="58" spans="1:29"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30"/>
        <v>0</v>
      </c>
      <c r="I58" s="27">
        <f t="shared" si="10"/>
        <v>1</v>
      </c>
      <c r="J58" s="738">
        <f>IF(Weather_Site!M56&lt;180,Weather_Site!M56+180,Weather_Site!M56-180)</f>
        <v>10</v>
      </c>
      <c r="K58" s="635">
        <f t="shared" si="11"/>
        <v>7.1494699999999991</v>
      </c>
      <c r="L58" s="635">
        <f t="shared" si="12"/>
        <v>9.1941000000000006</v>
      </c>
      <c r="M58" s="635">
        <f t="shared" si="13"/>
        <v>9.7220300000000002</v>
      </c>
      <c r="N58" s="635">
        <f t="shared" si="14"/>
        <v>9.7220300000000002</v>
      </c>
      <c r="O58" s="636">
        <f t="shared" si="15"/>
        <v>0.53795497114184299</v>
      </c>
      <c r="P58" s="635">
        <f>IF($O$11,Weather_Site!H56,IF(0.191*(Weather_Site!K56+104)*(Weather_Site!J56+1)^1.5/(3.52*(Weather_Site!J56+1)^1.5+Weather_Site!I56-1)&gt;10, 10,0.191*(Weather_Site!K56+104)*(Weather_Site!J56+1)^1.5/(3.52*(Weather_Site!J56+1)^1.5+Weather_Site!I56-1)))</f>
        <v>8.8000000000000007</v>
      </c>
      <c r="Q58" s="635">
        <f t="shared" si="16"/>
        <v>2.6220291327999981</v>
      </c>
      <c r="R58" s="636">
        <f t="shared" si="17"/>
        <v>9.9382586654383737E-2</v>
      </c>
      <c r="S58" s="636">
        <f t="shared" si="18"/>
        <v>5.3463356535660714E-2</v>
      </c>
      <c r="T58" s="635">
        <f t="shared" si="19"/>
        <v>1</v>
      </c>
      <c r="U58" s="707">
        <f t="shared" si="20"/>
        <v>1.6039006960698213E-3</v>
      </c>
      <c r="V58" s="707">
        <f t="shared" si="21"/>
        <v>0</v>
      </c>
      <c r="W58" s="707">
        <f t="shared" si="22"/>
        <v>19.038901803759543</v>
      </c>
      <c r="X58" s="636">
        <f t="shared" si="23"/>
        <v>1</v>
      </c>
      <c r="Y58" s="636">
        <f t="shared" si="24"/>
        <v>0</v>
      </c>
      <c r="Z58" s="637">
        <f t="shared" si="25"/>
        <v>0</v>
      </c>
      <c r="AA58" s="635">
        <f t="shared" si="26"/>
        <v>0</v>
      </c>
      <c r="AB58" s="707">
        <f t="shared" si="27"/>
        <v>0</v>
      </c>
      <c r="AC58" s="644"/>
    </row>
    <row r="59" spans="1:29" x14ac:dyDescent="0.25">
      <c r="A59" s="4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30"/>
        <v>0</v>
      </c>
      <c r="I59" s="413">
        <f t="shared" si="10"/>
        <v>1.2</v>
      </c>
      <c r="J59" s="737">
        <f>IF(Weather_Site!M57&lt;180,Weather_Site!M57+180,Weather_Site!M57-180)</f>
        <v>87</v>
      </c>
      <c r="K59" s="711">
        <f t="shared" si="11"/>
        <v>7.6840499999999992</v>
      </c>
      <c r="L59" s="711">
        <f t="shared" si="12"/>
        <v>9.9500000000000011</v>
      </c>
      <c r="M59" s="711">
        <f t="shared" si="13"/>
        <v>10.601450000000002</v>
      </c>
      <c r="N59" s="711">
        <f t="shared" si="14"/>
        <v>10.601450000000002</v>
      </c>
      <c r="O59" s="713">
        <f t="shared" si="15"/>
        <v>0.46579656776879452</v>
      </c>
      <c r="P59" s="711">
        <f>IF($O$11,Weather_Site!H57,IF(0.191*(Weather_Site!K57+104)*(Weather_Site!J57+1)^1.5/(3.52*(Weather_Site!J57+1)^1.5+Weather_Site!I57-1)&gt;10, 10,0.191*(Weather_Site!K57+104)*(Weather_Site!J57+1)^1.5/(3.52*(Weather_Site!J57+1)^1.5+Weather_Site!I57-1)))</f>
        <v>8.8000000000000007</v>
      </c>
      <c r="Q59" s="711">
        <f t="shared" si="16"/>
        <v>2.6220291327999981</v>
      </c>
      <c r="R59" s="713">
        <f t="shared" si="17"/>
        <v>9.9382586654383737E-2</v>
      </c>
      <c r="S59" s="713">
        <f t="shared" si="18"/>
        <v>4.6292067759596746E-2</v>
      </c>
      <c r="T59" s="711">
        <f t="shared" si="19"/>
        <v>1</v>
      </c>
      <c r="U59" s="716">
        <f t="shared" si="20"/>
        <v>1.3887620327879024E-3</v>
      </c>
      <c r="V59" s="716">
        <f t="shared" si="21"/>
        <v>5.0942796999345781</v>
      </c>
      <c r="W59" s="716">
        <f t="shared" si="22"/>
        <v>20.484213218328001</v>
      </c>
      <c r="X59" s="713">
        <f t="shared" si="23"/>
        <v>1</v>
      </c>
      <c r="Y59" s="713">
        <f t="shared" si="24"/>
        <v>0</v>
      </c>
      <c r="Z59" s="710">
        <f t="shared" si="25"/>
        <v>5.0942796999345781</v>
      </c>
      <c r="AA59" s="711">
        <f t="shared" si="26"/>
        <v>0.22525534251273741</v>
      </c>
      <c r="AB59" s="716">
        <f t="shared" si="27"/>
        <v>2.1935410351078963</v>
      </c>
      <c r="AC59" s="719"/>
    </row>
    <row r="60" spans="1:29" x14ac:dyDescent="0.25">
      <c r="A60" s="4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30"/>
        <v>0</v>
      </c>
      <c r="I60" s="413">
        <f t="shared" si="10"/>
        <v>1.2</v>
      </c>
      <c r="J60" s="737">
        <f>IF(Weather_Site!M58&lt;180,Weather_Site!M58+180,Weather_Site!M58-180)</f>
        <v>65</v>
      </c>
      <c r="K60" s="711">
        <f t="shared" si="11"/>
        <v>8.3159599999999987</v>
      </c>
      <c r="L60" s="711">
        <f t="shared" si="12"/>
        <v>10.836600000000001</v>
      </c>
      <c r="M60" s="711">
        <f t="shared" si="13"/>
        <v>11.63444</v>
      </c>
      <c r="N60" s="711">
        <f t="shared" si="14"/>
        <v>11.63444</v>
      </c>
      <c r="O60" s="713">
        <f t="shared" si="15"/>
        <v>0.3899674709307569</v>
      </c>
      <c r="P60" s="711">
        <f>IF($O$11,Weather_Site!H58,IF(0.191*(Weather_Site!K58+104)*(Weather_Site!J58+1)^1.5/(3.52*(Weather_Site!J58+1)^1.5+Weather_Site!I58-1)&gt;10, 10,0.191*(Weather_Site!K58+104)*(Weather_Site!J58+1)^1.5/(3.52*(Weather_Site!J58+1)^1.5+Weather_Site!I58-1)))</f>
        <v>8.8000000000000007</v>
      </c>
      <c r="Q60" s="711">
        <f t="shared" si="16"/>
        <v>2.6220291327999981</v>
      </c>
      <c r="R60" s="713">
        <f t="shared" si="17"/>
        <v>9.9382586654383737E-2</v>
      </c>
      <c r="S60" s="713">
        <f t="shared" si="18"/>
        <v>3.8755975972166817E-2</v>
      </c>
      <c r="T60" s="711">
        <f t="shared" si="19"/>
        <v>1</v>
      </c>
      <c r="U60" s="716">
        <f t="shared" si="20"/>
        <v>1.1626792791650045E-3</v>
      </c>
      <c r="V60" s="716">
        <f t="shared" si="21"/>
        <v>4.2649592295481762</v>
      </c>
      <c r="W60" s="716">
        <f t="shared" si="22"/>
        <v>17.149496959631549</v>
      </c>
      <c r="X60" s="713">
        <f t="shared" si="23"/>
        <v>1</v>
      </c>
      <c r="Y60" s="713">
        <f t="shared" si="24"/>
        <v>0</v>
      </c>
      <c r="Z60" s="710">
        <f t="shared" si="25"/>
        <v>4.2649592295481762</v>
      </c>
      <c r="AA60" s="711">
        <f t="shared" si="26"/>
        <v>0.1980991932622389</v>
      </c>
      <c r="AB60" s="716">
        <f t="shared" si="27"/>
        <v>1.8364447250896385</v>
      </c>
      <c r="AC60" s="719"/>
    </row>
    <row r="61" spans="1:29" x14ac:dyDescent="0.25">
      <c r="A61" s="4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30"/>
        <v>0</v>
      </c>
      <c r="I61" s="413">
        <f t="shared" si="10"/>
        <v>1.2</v>
      </c>
      <c r="J61" s="737">
        <f>IF(Weather_Site!M59&lt;180,Weather_Site!M59+180,Weather_Site!M59-180)</f>
        <v>46</v>
      </c>
      <c r="K61" s="711">
        <f t="shared" si="11"/>
        <v>8.6799900000000001</v>
      </c>
      <c r="L61" s="711">
        <f t="shared" si="12"/>
        <v>11.350300000000001</v>
      </c>
      <c r="M61" s="711">
        <f t="shared" si="13"/>
        <v>12.23231</v>
      </c>
      <c r="N61" s="711">
        <f t="shared" si="14"/>
        <v>12.23231</v>
      </c>
      <c r="O61" s="713">
        <f t="shared" si="15"/>
        <v>0.35127249247835024</v>
      </c>
      <c r="P61" s="711">
        <f>IF($O$11,Weather_Site!H59,IF(0.191*(Weather_Site!K59+104)*(Weather_Site!J59+1)^1.5/(3.52*(Weather_Site!J59+1)^1.5+Weather_Site!I59-1)&gt;10, 10,0.191*(Weather_Site!K59+104)*(Weather_Site!J59+1)^1.5/(3.52*(Weather_Site!J59+1)^1.5+Weather_Site!I59-1)))</f>
        <v>8.8000000000000007</v>
      </c>
      <c r="Q61" s="711">
        <f t="shared" si="16"/>
        <v>2.6220291327999981</v>
      </c>
      <c r="R61" s="713">
        <f t="shared" si="17"/>
        <v>9.9382586654383737E-2</v>
      </c>
      <c r="S61" s="713">
        <f t="shared" si="18"/>
        <v>3.4910368923031003E-2</v>
      </c>
      <c r="T61" s="711">
        <f t="shared" si="19"/>
        <v>1</v>
      </c>
      <c r="U61" s="716">
        <f t="shared" si="20"/>
        <v>1.0473110676909301E-3</v>
      </c>
      <c r="V61" s="716">
        <f t="shared" si="21"/>
        <v>3.8417636612258557</v>
      </c>
      <c r="W61" s="716">
        <f t="shared" si="22"/>
        <v>15.447818063854147</v>
      </c>
      <c r="X61" s="713">
        <f t="shared" si="23"/>
        <v>1</v>
      </c>
      <c r="Y61" s="713">
        <f t="shared" si="24"/>
        <v>0</v>
      </c>
      <c r="Z61" s="710">
        <f t="shared" si="25"/>
        <v>3.8417636612258557</v>
      </c>
      <c r="AA61" s="711">
        <f t="shared" si="26"/>
        <v>0.18368339663063493</v>
      </c>
      <c r="AB61" s="716">
        <f t="shared" si="27"/>
        <v>1.6542213491327316</v>
      </c>
      <c r="AC61" s="719"/>
    </row>
    <row r="62" spans="1:29" x14ac:dyDescent="0.25">
      <c r="A62" s="4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30"/>
        <v>0</v>
      </c>
      <c r="I62" s="413">
        <f t="shared" si="10"/>
        <v>1.2</v>
      </c>
      <c r="J62" s="737">
        <f>IF(Weather_Site!M60&lt;180,Weather_Site!M60+180,Weather_Site!M60-180)</f>
        <v>36</v>
      </c>
      <c r="K62" s="711">
        <f t="shared" si="11"/>
        <v>9.2033499999999986</v>
      </c>
      <c r="L62" s="711">
        <f t="shared" si="12"/>
        <v>12.0792</v>
      </c>
      <c r="M62" s="711">
        <f t="shared" si="13"/>
        <v>13.082750000000001</v>
      </c>
      <c r="N62" s="711">
        <f t="shared" si="14"/>
        <v>13.082750000000001</v>
      </c>
      <c r="O62" s="713">
        <f t="shared" si="15"/>
        <v>0.30341561420298202</v>
      </c>
      <c r="P62" s="711">
        <f>IF($O$11,Weather_Site!H60,IF(0.191*(Weather_Site!K60+104)*(Weather_Site!J60+1)^1.5/(3.52*(Weather_Site!J60+1)^1.5+Weather_Site!I60-1)&gt;10, 10,0.191*(Weather_Site!K60+104)*(Weather_Site!J60+1)^1.5/(3.52*(Weather_Site!J60+1)^1.5+Weather_Site!I60-1)))</f>
        <v>8.8000000000000007</v>
      </c>
      <c r="Q62" s="711">
        <f t="shared" si="16"/>
        <v>2.6220291327999981</v>
      </c>
      <c r="R62" s="713">
        <f t="shared" si="17"/>
        <v>9.9382586654383737E-2</v>
      </c>
      <c r="S62" s="713">
        <f t="shared" si="18"/>
        <v>3.0154228570820927E-2</v>
      </c>
      <c r="T62" s="711">
        <f t="shared" si="19"/>
        <v>1</v>
      </c>
      <c r="U62" s="716">
        <f t="shared" si="20"/>
        <v>9.0462685712462774E-4</v>
      </c>
      <c r="V62" s="716">
        <f t="shared" si="21"/>
        <v>3.3183670963515079</v>
      </c>
      <c r="W62" s="716">
        <f t="shared" si="22"/>
        <v>13.343228707921398</v>
      </c>
      <c r="X62" s="713">
        <f t="shared" si="23"/>
        <v>1</v>
      </c>
      <c r="Y62" s="713">
        <f t="shared" si="24"/>
        <v>0</v>
      </c>
      <c r="Z62" s="710">
        <f t="shared" si="25"/>
        <v>3.3183670963515079</v>
      </c>
      <c r="AA62" s="711">
        <f t="shared" si="26"/>
        <v>0.165227604947317</v>
      </c>
      <c r="AB62" s="716">
        <f t="shared" si="27"/>
        <v>1.4288525216808079</v>
      </c>
      <c r="AC62" s="719"/>
    </row>
    <row r="63" spans="1:29" x14ac:dyDescent="0.25">
      <c r="A63" s="4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si="30"/>
        <v>0</v>
      </c>
      <c r="I63" s="413">
        <f t="shared" si="10"/>
        <v>1.8</v>
      </c>
      <c r="J63" s="737">
        <f>IF(Weather_Site!M61&lt;180,Weather_Site!M61+180,Weather_Site!M61-180)</f>
        <v>8</v>
      </c>
      <c r="K63" s="711">
        <f t="shared" si="11"/>
        <v>10.226449999999998</v>
      </c>
      <c r="L63" s="711">
        <f t="shared" si="12"/>
        <v>13.4931</v>
      </c>
      <c r="M63" s="711">
        <f t="shared" si="13"/>
        <v>14.73485</v>
      </c>
      <c r="N63" s="711">
        <f t="shared" si="14"/>
        <v>14.73485</v>
      </c>
      <c r="O63" s="713">
        <f t="shared" si="15"/>
        <v>0.23534725054282379</v>
      </c>
      <c r="P63" s="711">
        <f>IF($O$11,Weather_Site!H61,IF(0.191*(Weather_Site!K61+104)*(Weather_Site!J61+1)^1.5/(3.52*(Weather_Site!J61+1)^1.5+Weather_Site!I61-1)&gt;10, 10,0.191*(Weather_Site!K61+104)*(Weather_Site!J61+1)^1.5/(3.52*(Weather_Site!J61+1)^1.5+Weather_Site!I61-1)))</f>
        <v>8.8000000000000007</v>
      </c>
      <c r="Q63" s="711">
        <f t="shared" si="16"/>
        <v>2.6220291327999981</v>
      </c>
      <c r="R63" s="713">
        <f t="shared" si="17"/>
        <v>9.9382586654383737E-2</v>
      </c>
      <c r="S63" s="713">
        <f t="shared" si="18"/>
        <v>2.3389418520943145E-2</v>
      </c>
      <c r="T63" s="711">
        <f t="shared" si="19"/>
        <v>1</v>
      </c>
      <c r="U63" s="716">
        <f t="shared" si="20"/>
        <v>7.0168255562829437E-4</v>
      </c>
      <c r="V63" s="716">
        <f t="shared" si="21"/>
        <v>8.0855682109540048</v>
      </c>
      <c r="W63" s="716">
        <f t="shared" si="22"/>
        <v>16.776684128401953</v>
      </c>
      <c r="X63" s="713">
        <f t="shared" si="23"/>
        <v>1</v>
      </c>
      <c r="Y63" s="713">
        <f t="shared" si="24"/>
        <v>0</v>
      </c>
      <c r="Z63" s="710">
        <f t="shared" si="25"/>
        <v>8.0855682109540048</v>
      </c>
      <c r="AA63" s="711">
        <f t="shared" si="26"/>
        <v>0.31457845131338907</v>
      </c>
      <c r="AB63" s="716">
        <f t="shared" si="27"/>
        <v>2.7100040926913813</v>
      </c>
      <c r="AC63" s="719"/>
    </row>
    <row r="64" spans="1:29"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30"/>
        <v>0</v>
      </c>
      <c r="I64" s="27">
        <f t="shared" si="10"/>
        <v>2</v>
      </c>
      <c r="J64" s="738">
        <f>IF(Weather_Site!M62&lt;180,Weather_Site!M62+180,Weather_Site!M62-180)</f>
        <v>9</v>
      </c>
      <c r="K64" s="635">
        <f t="shared" si="11"/>
        <v>10.597269999999998</v>
      </c>
      <c r="L64" s="635">
        <f t="shared" si="12"/>
        <v>14.010199999999999</v>
      </c>
      <c r="M64" s="635">
        <f t="shared" si="13"/>
        <v>15.33803</v>
      </c>
      <c r="N64" s="635">
        <f t="shared" si="14"/>
        <v>14.010199999999999</v>
      </c>
      <c r="O64" s="636">
        <f t="shared" si="15"/>
        <v>0.21840410365558349</v>
      </c>
      <c r="P64" s="635">
        <f>IF($O$11,Weather_Site!H62,IF(0.191*(Weather_Site!K62+104)*(Weather_Site!J62+1)^1.5/(3.52*(Weather_Site!J62+1)^1.5+Weather_Site!I62-1)&gt;10, 10,0.191*(Weather_Site!K62+104)*(Weather_Site!J62+1)^1.5/(3.52*(Weather_Site!J62+1)^1.5+Weather_Site!I62-1)))</f>
        <v>8.8000000000000007</v>
      </c>
      <c r="Q64" s="635">
        <f t="shared" si="16"/>
        <v>2.6220291327999981</v>
      </c>
      <c r="R64" s="636">
        <f t="shared" si="17"/>
        <v>9.9382586654383737E-2</v>
      </c>
      <c r="S64" s="636">
        <f t="shared" si="18"/>
        <v>2.1705564757224034E-2</v>
      </c>
      <c r="T64" s="635">
        <f t="shared" si="19"/>
        <v>1</v>
      </c>
      <c r="U64" s="707">
        <f t="shared" si="20"/>
        <v>6.5116694271672099E-4</v>
      </c>
      <c r="V64" s="707">
        <f t="shared" si="21"/>
        <v>9.0215225509951313</v>
      </c>
      <c r="W64" s="707">
        <f t="shared" si="22"/>
        <v>17.650937462873244</v>
      </c>
      <c r="X64" s="636">
        <f t="shared" si="23"/>
        <v>1</v>
      </c>
      <c r="Y64" s="636">
        <f t="shared" si="24"/>
        <v>0</v>
      </c>
      <c r="Z64" s="637">
        <f t="shared" si="25"/>
        <v>9.0215225509951313</v>
      </c>
      <c r="AA64" s="635">
        <f t="shared" si="26"/>
        <v>0.34050349148924036</v>
      </c>
      <c r="AB64" s="707">
        <f t="shared" si="27"/>
        <v>2.8157061644803778</v>
      </c>
      <c r="AC64" s="644"/>
    </row>
    <row r="65" spans="1:29"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30"/>
        <v>0</v>
      </c>
      <c r="I65" s="27">
        <f t="shared" si="10"/>
        <v>2.4</v>
      </c>
      <c r="J65" s="738">
        <f>IF(Weather_Site!M63&lt;180,Weather_Site!M63+180,Weather_Site!M63-180)</f>
        <v>358</v>
      </c>
      <c r="K65" s="635">
        <f t="shared" si="11"/>
        <v>9.7309399999999986</v>
      </c>
      <c r="L65" s="635">
        <f t="shared" si="12"/>
        <v>12.792400000000001</v>
      </c>
      <c r="M65" s="635">
        <f t="shared" si="13"/>
        <v>13.91966</v>
      </c>
      <c r="N65" s="635">
        <f t="shared" si="14"/>
        <v>12.792400000000001</v>
      </c>
      <c r="O65" s="636">
        <f t="shared" si="15"/>
        <v>0.26484594527384653</v>
      </c>
      <c r="P65" s="635">
        <f>IF($O$11,Weather_Site!H63,IF(0.191*(Weather_Site!K63+104)*(Weather_Site!J63+1)^1.5/(3.52*(Weather_Site!J63+1)^1.5+Weather_Site!I63-1)&gt;10, 10,0.191*(Weather_Site!K63+104)*(Weather_Site!J63+1)^1.5/(3.52*(Weather_Site!J63+1)^1.5+Weather_Site!I63-1)))</f>
        <v>8.8000000000000007</v>
      </c>
      <c r="Q65" s="635">
        <f t="shared" si="16"/>
        <v>2.6220291327999981</v>
      </c>
      <c r="R65" s="636">
        <f t="shared" si="17"/>
        <v>9.9382586654383737E-2</v>
      </c>
      <c r="S65" s="636">
        <f t="shared" si="18"/>
        <v>2.6321075106240224E-2</v>
      </c>
      <c r="T65" s="635">
        <f t="shared" si="19"/>
        <v>1</v>
      </c>
      <c r="U65" s="707">
        <f t="shared" si="20"/>
        <v>4.4254656399106391</v>
      </c>
      <c r="V65" s="707">
        <f t="shared" si="21"/>
        <v>14.443379784004803</v>
      </c>
      <c r="W65" s="707">
        <f t="shared" si="22"/>
        <v>26.596674926693272</v>
      </c>
      <c r="X65" s="636">
        <f t="shared" si="23"/>
        <v>1</v>
      </c>
      <c r="Y65" s="636">
        <f t="shared" si="24"/>
        <v>0</v>
      </c>
      <c r="Z65" s="637">
        <f t="shared" si="25"/>
        <v>14.443379784004803</v>
      </c>
      <c r="AA65" s="635">
        <f t="shared" si="26"/>
        <v>0.47851417862884316</v>
      </c>
      <c r="AB65" s="707">
        <f t="shared" si="27"/>
        <v>3.9627358933287975</v>
      </c>
      <c r="AC65" s="644"/>
    </row>
    <row r="66" spans="1:29"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30"/>
        <v>0</v>
      </c>
      <c r="I66" s="27">
        <f t="shared" si="10"/>
        <v>3.2</v>
      </c>
      <c r="J66" s="738">
        <f>IF(Weather_Site!M64&lt;180,Weather_Site!M64+180,Weather_Site!M64-180)</f>
        <v>3</v>
      </c>
      <c r="K66" s="635">
        <f t="shared" si="11"/>
        <v>8.3796299999999988</v>
      </c>
      <c r="L66" s="635">
        <f t="shared" si="12"/>
        <v>10.8863</v>
      </c>
      <c r="M66" s="635">
        <f t="shared" si="13"/>
        <v>11.701070000000001</v>
      </c>
      <c r="N66" s="635">
        <f t="shared" si="14"/>
        <v>10.8863</v>
      </c>
      <c r="O66" s="636">
        <f t="shared" si="15"/>
        <v>0.38545674132181951</v>
      </c>
      <c r="P66" s="635">
        <f>IF($O$11,Weather_Site!H64,IF(0.191*(Weather_Site!K64+104)*(Weather_Site!J64+1)^1.5/(3.52*(Weather_Site!J64+1)^1.5+Weather_Site!I64-1)&gt;10, 10,0.191*(Weather_Site!K64+104)*(Weather_Site!J64+1)^1.5/(3.52*(Weather_Site!J64+1)^1.5+Weather_Site!I64-1)))</f>
        <v>8.8000000000000007</v>
      </c>
      <c r="Q66" s="635">
        <f t="shared" si="16"/>
        <v>2.6220291327999981</v>
      </c>
      <c r="R66" s="636">
        <f t="shared" si="17"/>
        <v>9.9382586654383737E-2</v>
      </c>
      <c r="S66" s="636">
        <f t="shared" si="18"/>
        <v>3.8307687995932101E-2</v>
      </c>
      <c r="T66" s="635">
        <f t="shared" si="19"/>
        <v>1</v>
      </c>
      <c r="U66" s="707">
        <f t="shared" si="20"/>
        <v>9.1920829589930602</v>
      </c>
      <c r="V66" s="707">
        <f t="shared" si="21"/>
        <v>30.530201715459114</v>
      </c>
      <c r="W66" s="707">
        <f t="shared" si="22"/>
        <v>54.531404134679164</v>
      </c>
      <c r="X66" s="636">
        <f t="shared" si="23"/>
        <v>1</v>
      </c>
      <c r="Y66" s="636">
        <f t="shared" si="24"/>
        <v>0</v>
      </c>
      <c r="Z66" s="637">
        <f t="shared" si="25"/>
        <v>30.530201715459114</v>
      </c>
      <c r="AA66" s="635">
        <f t="shared" si="26"/>
        <v>0.82207946499153917</v>
      </c>
      <c r="AB66" s="707">
        <f t="shared" si="27"/>
        <v>6.7449190781767205</v>
      </c>
      <c r="AC66" s="644"/>
    </row>
    <row r="67" spans="1:29"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30"/>
        <v>0</v>
      </c>
      <c r="I67" s="27">
        <f t="shared" si="10"/>
        <v>2</v>
      </c>
      <c r="J67" s="738">
        <f>IF(Weather_Site!M65&lt;180,Weather_Site!M65+180,Weather_Site!M65-180)</f>
        <v>359</v>
      </c>
      <c r="K67" s="635">
        <f t="shared" si="11"/>
        <v>7.5603400000000001</v>
      </c>
      <c r="L67" s="635">
        <f t="shared" si="12"/>
        <v>9.7170000000000005</v>
      </c>
      <c r="M67" s="635">
        <f t="shared" si="13"/>
        <v>10.343060000000001</v>
      </c>
      <c r="N67" s="635">
        <f t="shared" si="14"/>
        <v>9.7170000000000005</v>
      </c>
      <c r="O67" s="636">
        <f t="shared" si="15"/>
        <v>0.48635274864255529</v>
      </c>
      <c r="P67" s="635">
        <f>IF($O$11,Weather_Site!H65,IF(0.191*(Weather_Site!K65+104)*(Weather_Site!J65+1)^1.5/(3.52*(Weather_Site!J65+1)^1.5+Weather_Site!I65-1)&gt;10, 10,0.191*(Weather_Site!K65+104)*(Weather_Site!J65+1)^1.5/(3.52*(Weather_Site!J65+1)^1.5+Weather_Site!I65-1)))</f>
        <v>8.8000000000000007</v>
      </c>
      <c r="Q67" s="635">
        <f t="shared" si="16"/>
        <v>2.6220291327999981</v>
      </c>
      <c r="R67" s="636">
        <f t="shared" si="17"/>
        <v>9.9382586654383737E-2</v>
      </c>
      <c r="S67" s="636">
        <f t="shared" si="18"/>
        <v>4.8334994186566463E-2</v>
      </c>
      <c r="T67" s="635">
        <f t="shared" si="19"/>
        <v>1</v>
      </c>
      <c r="U67" s="707">
        <f t="shared" si="20"/>
        <v>1.4500498255969939E-3</v>
      </c>
      <c r="V67" s="707">
        <f t="shared" si="21"/>
        <v>20.089559748091798</v>
      </c>
      <c r="W67" s="707">
        <f t="shared" si="22"/>
        <v>39.305955371259294</v>
      </c>
      <c r="X67" s="636">
        <f t="shared" si="23"/>
        <v>1</v>
      </c>
      <c r="Y67" s="636">
        <f t="shared" si="24"/>
        <v>0</v>
      </c>
      <c r="Z67" s="637">
        <f t="shared" si="25"/>
        <v>20.089559748091798</v>
      </c>
      <c r="AA67" s="635">
        <f t="shared" si="26"/>
        <v>0.60743786322101567</v>
      </c>
      <c r="AB67" s="707">
        <f t="shared" si="27"/>
        <v>6.2701497341110475</v>
      </c>
      <c r="AC67" s="644"/>
    </row>
    <row r="68" spans="1:29"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30"/>
        <v>0</v>
      </c>
      <c r="I68" s="27">
        <f t="shared" si="10"/>
        <v>2.8</v>
      </c>
      <c r="J68" s="738">
        <f>IF(Weather_Site!M66&lt;180,Weather_Site!M66+180,Weather_Site!M66-180)</f>
        <v>338</v>
      </c>
      <c r="K68" s="635">
        <f t="shared" si="11"/>
        <v>6.40625</v>
      </c>
      <c r="L68" s="635">
        <f t="shared" si="12"/>
        <v>8.0914000000000001</v>
      </c>
      <c r="M68" s="635">
        <f t="shared" si="13"/>
        <v>8.45045</v>
      </c>
      <c r="N68" s="635">
        <f t="shared" si="14"/>
        <v>8.0914000000000001</v>
      </c>
      <c r="O68" s="636">
        <f t="shared" si="15"/>
        <v>0.65071835712667403</v>
      </c>
      <c r="P68" s="635">
        <f>IF($O$11,Weather_Site!H66,IF(0.191*(Weather_Site!K66+104)*(Weather_Site!J66+1)^1.5/(3.52*(Weather_Site!J66+1)^1.5+Weather_Site!I66-1)&gt;10, 10,0.191*(Weather_Site!K66+104)*(Weather_Site!J66+1)^1.5/(3.52*(Weather_Site!J66+1)^1.5+Weather_Site!I66-1)))</f>
        <v>8.8000000000000007</v>
      </c>
      <c r="Q68" s="635">
        <f t="shared" si="16"/>
        <v>2.6220291327999981</v>
      </c>
      <c r="R68" s="636">
        <f t="shared" si="17"/>
        <v>9.9382586654383737E-2</v>
      </c>
      <c r="S68" s="636">
        <f t="shared" si="18"/>
        <v>6.4670073514739898E-2</v>
      </c>
      <c r="T68" s="635">
        <f t="shared" si="19"/>
        <v>1</v>
      </c>
      <c r="U68" s="707">
        <f t="shared" si="20"/>
        <v>13.214725563277039</v>
      </c>
      <c r="V68" s="707">
        <f t="shared" si="21"/>
        <v>43.670489326495904</v>
      </c>
      <c r="W68" s="707">
        <f t="shared" si="22"/>
        <v>78.519847418148501</v>
      </c>
      <c r="X68" s="636">
        <f t="shared" si="23"/>
        <v>1</v>
      </c>
      <c r="Y68" s="636">
        <f t="shared" si="24"/>
        <v>0</v>
      </c>
      <c r="Z68" s="637">
        <f t="shared" si="25"/>
        <v>43.670489326495904</v>
      </c>
      <c r="AA68" s="635">
        <f t="shared" si="26"/>
        <v>1.0649033957888032</v>
      </c>
      <c r="AB68" s="707">
        <f t="shared" si="27"/>
        <v>10.688880293346363</v>
      </c>
      <c r="AC68" s="644"/>
    </row>
    <row r="69" spans="1:29" x14ac:dyDescent="0.25">
      <c r="A69" s="4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30"/>
        <v>0</v>
      </c>
      <c r="I69" s="413">
        <f t="shared" si="10"/>
        <v>2.2000000000000002</v>
      </c>
      <c r="J69" s="737">
        <f>IF(Weather_Site!M67&lt;180,Weather_Site!M67+180,Weather_Site!M67-180)</f>
        <v>333</v>
      </c>
      <c r="K69" s="711">
        <f t="shared" si="11"/>
        <v>5.7165699999999999</v>
      </c>
      <c r="L69" s="711">
        <f t="shared" si="12"/>
        <v>7.1046000000000014</v>
      </c>
      <c r="M69" s="711">
        <f t="shared" si="13"/>
        <v>7.3049299999999988</v>
      </c>
      <c r="N69" s="711">
        <f t="shared" si="14"/>
        <v>7.1046000000000014</v>
      </c>
      <c r="O69" s="713">
        <f t="shared" si="15"/>
        <v>0.75533777369010457</v>
      </c>
      <c r="P69" s="711">
        <f>IF($O$11,Weather_Site!H67,IF(0.191*(Weather_Site!K67+104)*(Weather_Site!J67+1)^1.5/(3.52*(Weather_Site!J67+1)^1.5+Weather_Site!I67-1)&gt;10, 10,0.191*(Weather_Site!K67+104)*(Weather_Site!J67+1)^1.5/(3.52*(Weather_Site!J67+1)^1.5+Weather_Site!I67-1)))</f>
        <v>8.8000000000000007</v>
      </c>
      <c r="Q69" s="711">
        <f t="shared" si="16"/>
        <v>2.6220291327999981</v>
      </c>
      <c r="R69" s="713">
        <f t="shared" si="17"/>
        <v>9.9382586654383737E-2</v>
      </c>
      <c r="S69" s="713">
        <f t="shared" si="18"/>
        <v>7.506742174708611E-2</v>
      </c>
      <c r="T69" s="711">
        <f t="shared" si="19"/>
        <v>1</v>
      </c>
      <c r="U69" s="716">
        <f t="shared" si="20"/>
        <v>11.241622831577011</v>
      </c>
      <c r="V69" s="716">
        <f t="shared" si="21"/>
        <v>36.269319880058369</v>
      </c>
      <c r="W69" s="716">
        <f t="shared" si="22"/>
        <v>68.384624083541965</v>
      </c>
      <c r="X69" s="713">
        <f t="shared" si="23"/>
        <v>1</v>
      </c>
      <c r="Y69" s="713">
        <f t="shared" si="24"/>
        <v>0</v>
      </c>
      <c r="Z69" s="710">
        <f t="shared" si="25"/>
        <v>36.269319880058369</v>
      </c>
      <c r="AA69" s="711">
        <f t="shared" si="26"/>
        <v>0.93111053520131493</v>
      </c>
      <c r="AB69" s="716">
        <f t="shared" si="27"/>
        <v>10.591437881105703</v>
      </c>
      <c r="AC69" s="719"/>
    </row>
    <row r="70" spans="1:29" x14ac:dyDescent="0.25">
      <c r="A70" s="4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30"/>
        <v>0</v>
      </c>
      <c r="I70" s="413">
        <f t="shared" si="10"/>
        <v>2.2000000000000002</v>
      </c>
      <c r="J70" s="737">
        <f>IF(Weather_Site!M68&lt;180,Weather_Site!M68+180,Weather_Site!M68-180)</f>
        <v>342</v>
      </c>
      <c r="K70" s="711">
        <f t="shared" si="11"/>
        <v>5.3363999999999994</v>
      </c>
      <c r="L70" s="711">
        <f t="shared" si="12"/>
        <v>6.5650000000000013</v>
      </c>
      <c r="M70" s="711">
        <f t="shared" si="13"/>
        <v>6.6776000000000009</v>
      </c>
      <c r="N70" s="711">
        <f t="shared" si="14"/>
        <v>6.5650000000000013</v>
      </c>
      <c r="O70" s="713">
        <f t="shared" si="15"/>
        <v>0.81135096497672965</v>
      </c>
      <c r="P70" s="711">
        <f>IF($O$11,Weather_Site!H68,IF(0.191*(Weather_Site!K68+104)*(Weather_Site!J68+1)^1.5/(3.52*(Weather_Site!J68+1)^1.5+Weather_Site!I68-1)&gt;10, 10,0.191*(Weather_Site!K68+104)*(Weather_Site!J68+1)^1.5/(3.52*(Weather_Site!J68+1)^1.5+Weather_Site!I68-1)))</f>
        <v>8.8000000000000007</v>
      </c>
      <c r="Q70" s="711">
        <f t="shared" si="16"/>
        <v>2.6220291327999981</v>
      </c>
      <c r="R70" s="713">
        <f t="shared" si="17"/>
        <v>9.9382586654383737E-2</v>
      </c>
      <c r="S70" s="713">
        <f t="shared" si="18"/>
        <v>8.0634157583917704E-2</v>
      </c>
      <c r="T70" s="711">
        <f t="shared" si="19"/>
        <v>1</v>
      </c>
      <c r="U70" s="716">
        <f t="shared" si="20"/>
        <v>12.075262021844166</v>
      </c>
      <c r="V70" s="716">
        <f t="shared" si="21"/>
        <v>38.95892501175009</v>
      </c>
      <c r="W70" s="716">
        <f t="shared" si="22"/>
        <v>73.455787162203137</v>
      </c>
      <c r="X70" s="713">
        <f t="shared" si="23"/>
        <v>1</v>
      </c>
      <c r="Y70" s="713">
        <f t="shared" si="24"/>
        <v>0</v>
      </c>
      <c r="Z70" s="710">
        <f t="shared" si="25"/>
        <v>38.95892501175009</v>
      </c>
      <c r="AA70" s="711">
        <f t="shared" si="26"/>
        <v>0.98053495747202857</v>
      </c>
      <c r="AB70" s="716">
        <f t="shared" si="27"/>
        <v>11.376861643426611</v>
      </c>
      <c r="AC70" s="719"/>
    </row>
    <row r="71" spans="1:29" x14ac:dyDescent="0.25">
      <c r="A71" s="4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30"/>
        <v>0</v>
      </c>
      <c r="I71" s="413">
        <f t="shared" si="10"/>
        <v>2.2000000000000002</v>
      </c>
      <c r="J71" s="737">
        <f>IF(Weather_Site!M69&lt;180,Weather_Site!M69+180,Weather_Site!M69-180)</f>
        <v>18</v>
      </c>
      <c r="K71" s="711">
        <f t="shared" si="11"/>
        <v>4.9363499999999991</v>
      </c>
      <c r="L71" s="711">
        <f t="shared" si="12"/>
        <v>5.9905000000000008</v>
      </c>
      <c r="M71" s="711">
        <f t="shared" si="13"/>
        <v>6.0111499999999998</v>
      </c>
      <c r="N71" s="711">
        <f t="shared" si="14"/>
        <v>4.9363499999999991</v>
      </c>
      <c r="O71" s="713">
        <f t="shared" si="15"/>
        <v>0.86804128328208185</v>
      </c>
      <c r="P71" s="711">
        <f>IF($O$11,Weather_Site!H69,IF(0.191*(Weather_Site!K69+104)*(Weather_Site!J69+1)^1.5/(3.52*(Weather_Site!J69+1)^1.5+Weather_Site!I69-1)&gt;10, 10,0.191*(Weather_Site!K69+104)*(Weather_Site!J69+1)^1.5/(3.52*(Weather_Site!J69+1)^1.5+Weather_Site!I69-1)))</f>
        <v>8.9000009999999996</v>
      </c>
      <c r="Q71" s="711">
        <f t="shared" si="16"/>
        <v>2.6518252163578535</v>
      </c>
      <c r="R71" s="713">
        <f t="shared" si="17"/>
        <v>0.10189439117058943</v>
      </c>
      <c r="S71" s="713">
        <f t="shared" si="18"/>
        <v>8.844853807096488E-2</v>
      </c>
      <c r="T71" s="711">
        <f t="shared" si="19"/>
        <v>1</v>
      </c>
      <c r="U71" s="716">
        <f t="shared" si="20"/>
        <v>13.245494275108271</v>
      </c>
      <c r="V71" s="716">
        <f t="shared" si="21"/>
        <v>42.734494479209545</v>
      </c>
      <c r="W71" s="716">
        <f t="shared" si="22"/>
        <v>80.574500708179301</v>
      </c>
      <c r="X71" s="713">
        <f t="shared" si="23"/>
        <v>1</v>
      </c>
      <c r="Y71" s="713">
        <f t="shared" si="24"/>
        <v>0</v>
      </c>
      <c r="Z71" s="710">
        <f t="shared" si="25"/>
        <v>42.734494479209545</v>
      </c>
      <c r="AA71" s="711">
        <f t="shared" si="26"/>
        <v>1.0483520592690272</v>
      </c>
      <c r="AB71" s="716">
        <f t="shared" si="27"/>
        <v>12.479410839624327</v>
      </c>
      <c r="AC71" s="719"/>
    </row>
    <row r="72" spans="1:29" x14ac:dyDescent="0.25">
      <c r="A72" s="4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30"/>
        <v>0</v>
      </c>
      <c r="I72" s="413">
        <f t="shared" si="10"/>
        <v>2.2000000000000002</v>
      </c>
      <c r="J72" s="737">
        <f>IF(Weather_Site!M70&lt;180,Weather_Site!M70+180,Weather_Site!M70-180)</f>
        <v>28</v>
      </c>
      <c r="K72" s="711">
        <f t="shared" si="11"/>
        <v>4.4792199999999998</v>
      </c>
      <c r="L72" s="711">
        <f t="shared" si="12"/>
        <v>5.3304000000000009</v>
      </c>
      <c r="M72" s="711">
        <f t="shared" si="13"/>
        <v>5.2461800000000007</v>
      </c>
      <c r="N72" s="711">
        <f t="shared" si="14"/>
        <v>4.4792199999999998</v>
      </c>
      <c r="O72" s="713">
        <f t="shared" si="15"/>
        <v>0.92733151049588924</v>
      </c>
      <c r="P72" s="711">
        <f>IF($O$11,Weather_Site!H70,IF(0.191*(Weather_Site!K70+104)*(Weather_Site!J70+1)^1.5/(3.52*(Weather_Site!J70+1)^1.5+Weather_Site!I70-1)&gt;10, 10,0.191*(Weather_Site!K70+104)*(Weather_Site!J70+1)^1.5/(3.52*(Weather_Site!J70+1)^1.5+Weather_Site!I70-1)))</f>
        <v>8.9000009999999996</v>
      </c>
      <c r="Q72" s="711">
        <f t="shared" si="16"/>
        <v>2.6518252163578535</v>
      </c>
      <c r="R72" s="713">
        <f t="shared" si="17"/>
        <v>0.10189439117058943</v>
      </c>
      <c r="S72" s="713">
        <f t="shared" si="18"/>
        <v>9.4489879675281704E-2</v>
      </c>
      <c r="T72" s="711">
        <f t="shared" si="19"/>
        <v>1</v>
      </c>
      <c r="U72" s="716">
        <f t="shared" si="20"/>
        <v>14.150207426723609</v>
      </c>
      <c r="V72" s="716">
        <f t="shared" si="21"/>
        <v>45.653408517444475</v>
      </c>
      <c r="W72" s="716">
        <f t="shared" si="22"/>
        <v>86.078018278869067</v>
      </c>
      <c r="X72" s="713">
        <f t="shared" si="23"/>
        <v>1</v>
      </c>
      <c r="Y72" s="713">
        <f t="shared" si="24"/>
        <v>0</v>
      </c>
      <c r="Z72" s="710">
        <f t="shared" si="25"/>
        <v>45.653408517444475</v>
      </c>
      <c r="AA72" s="711">
        <f t="shared" si="26"/>
        <v>1.0996472060093454</v>
      </c>
      <c r="AB72" s="716">
        <f t="shared" si="27"/>
        <v>13.331797838291227</v>
      </c>
      <c r="AC72" s="719"/>
    </row>
    <row r="73" spans="1:29" x14ac:dyDescent="0.25">
      <c r="A73" s="4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30"/>
        <v>0</v>
      </c>
      <c r="I73" s="413">
        <f t="shared" si="10"/>
        <v>1.8</v>
      </c>
      <c r="J73" s="737">
        <f>IF(Weather_Site!M71&lt;180,Weather_Site!M71+180,Weather_Site!M71-180)</f>
        <v>32</v>
      </c>
      <c r="K73" s="711">
        <f t="shared" si="11"/>
        <v>4.2001199999999992</v>
      </c>
      <c r="L73" s="711">
        <f t="shared" si="12"/>
        <v>4.9305000000000003</v>
      </c>
      <c r="M73" s="711">
        <f t="shared" si="13"/>
        <v>4.7820800000000006</v>
      </c>
      <c r="N73" s="711">
        <f t="shared" si="14"/>
        <v>4.2001199999999992</v>
      </c>
      <c r="O73" s="713">
        <f t="shared" si="15"/>
        <v>0.95913916330832205</v>
      </c>
      <c r="P73" s="711">
        <f>IF($O$11,Weather_Site!H71,IF(0.191*(Weather_Site!K71+104)*(Weather_Site!J71+1)^1.5/(3.52*(Weather_Site!J71+1)^1.5+Weather_Site!I71-1)&gt;10, 10,0.191*(Weather_Site!K71+104)*(Weather_Site!J71+1)^1.5/(3.52*(Weather_Site!J71+1)^1.5+Weather_Site!I71-1)))</f>
        <v>8.9000009999999996</v>
      </c>
      <c r="Q73" s="711">
        <f t="shared" si="16"/>
        <v>2.6518252163578535</v>
      </c>
      <c r="R73" s="713">
        <f t="shared" si="17"/>
        <v>0.10189439117058943</v>
      </c>
      <c r="S73" s="713">
        <f t="shared" si="18"/>
        <v>9.7730901093170022E-2</v>
      </c>
      <c r="T73" s="711">
        <f t="shared" si="19"/>
        <v>1</v>
      </c>
      <c r="U73" s="716">
        <f t="shared" si="20"/>
        <v>2.9319270327951004E-3</v>
      </c>
      <c r="V73" s="716">
        <f t="shared" si="21"/>
        <v>33.784929984439884</v>
      </c>
      <c r="W73" s="716">
        <f t="shared" si="22"/>
        <v>70.100094867945955</v>
      </c>
      <c r="X73" s="713">
        <f t="shared" si="23"/>
        <v>1</v>
      </c>
      <c r="Y73" s="713">
        <f t="shared" si="24"/>
        <v>0</v>
      </c>
      <c r="Z73" s="710">
        <f t="shared" si="25"/>
        <v>33.784929984439884</v>
      </c>
      <c r="AA73" s="711">
        <f t="shared" si="26"/>
        <v>0.88454715834664399</v>
      </c>
      <c r="AB73" s="716">
        <f t="shared" si="27"/>
        <v>11.323545376203205</v>
      </c>
      <c r="AC73" s="719"/>
    </row>
    <row r="74" spans="1:29"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30"/>
        <v>0</v>
      </c>
      <c r="I74" s="27">
        <f t="shared" si="10"/>
        <v>2.2000000000000002</v>
      </c>
      <c r="J74" s="738">
        <f>IF(Weather_Site!M72&lt;180,Weather_Site!M72+180,Weather_Site!M72-180)</f>
        <v>36</v>
      </c>
      <c r="K74" s="635">
        <f t="shared" si="11"/>
        <v>4.0716900000000003</v>
      </c>
      <c r="L74" s="635">
        <f t="shared" si="12"/>
        <v>4.7378999999999998</v>
      </c>
      <c r="M74" s="635">
        <f t="shared" si="13"/>
        <v>4.5604100000000001</v>
      </c>
      <c r="N74" s="635">
        <f t="shared" si="14"/>
        <v>4.0716900000000003</v>
      </c>
      <c r="O74" s="636">
        <f t="shared" si="15"/>
        <v>0.97297095641076337</v>
      </c>
      <c r="P74" s="635">
        <f>IF($O$11,Weather_Site!H72,IF(0.191*(Weather_Site!K72+104)*(Weather_Site!J72+1)^1.5/(3.52*(Weather_Site!J72+1)^1.5+Weather_Site!I72-1)&gt;10, 10,0.191*(Weather_Site!K72+104)*(Weather_Site!J72+1)^1.5/(3.52*(Weather_Site!J72+1)^1.5+Weather_Site!I72-1)))</f>
        <v>8.9000009999999996</v>
      </c>
      <c r="Q74" s="635">
        <f t="shared" si="16"/>
        <v>2.6518252163578535</v>
      </c>
      <c r="R74" s="636">
        <f t="shared" si="17"/>
        <v>0.10189439117058943</v>
      </c>
      <c r="S74" s="636">
        <f t="shared" si="18"/>
        <v>9.9140283230140847E-2</v>
      </c>
      <c r="T74" s="635">
        <f t="shared" si="19"/>
        <v>1</v>
      </c>
      <c r="U74" s="707">
        <f t="shared" si="20"/>
        <v>14.84662248350396</v>
      </c>
      <c r="V74" s="707">
        <f t="shared" si="21"/>
        <v>47.900281663971505</v>
      </c>
      <c r="W74" s="707">
        <f t="shared" si="22"/>
        <v>90.314424585818784</v>
      </c>
      <c r="X74" s="636">
        <f t="shared" si="23"/>
        <v>1</v>
      </c>
      <c r="Y74" s="636">
        <f t="shared" si="24"/>
        <v>0</v>
      </c>
      <c r="Z74" s="637">
        <f t="shared" si="25"/>
        <v>47.900281663971505</v>
      </c>
      <c r="AA74" s="635">
        <f t="shared" si="26"/>
        <v>1.1385147681583692</v>
      </c>
      <c r="AB74" s="707">
        <f t="shared" si="27"/>
        <v>13.987934138526896</v>
      </c>
      <c r="AC74" s="644"/>
    </row>
    <row r="75" spans="1:29"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30"/>
        <v>0</v>
      </c>
      <c r="I75" s="27">
        <f t="shared" si="10"/>
        <v>2</v>
      </c>
      <c r="J75" s="738">
        <f>IF(Weather_Site!M73&lt;180,Weather_Site!M73+180,Weather_Site!M73-180)</f>
        <v>38</v>
      </c>
      <c r="K75" s="635">
        <f t="shared" si="11"/>
        <v>3.9221999999999997</v>
      </c>
      <c r="L75" s="635">
        <f t="shared" si="12"/>
        <v>4.5205000000000002</v>
      </c>
      <c r="M75" s="635">
        <f t="shared" si="13"/>
        <v>4.3088000000000006</v>
      </c>
      <c r="N75" s="635">
        <f t="shared" si="14"/>
        <v>3.9221999999999997</v>
      </c>
      <c r="O75" s="636">
        <f t="shared" si="15"/>
        <v>0.98747138288593928</v>
      </c>
      <c r="P75" s="635">
        <f>IF($O$11,Weather_Site!H73,IF(0.191*(Weather_Site!K73+104)*(Weather_Site!J73+1)^1.5/(3.52*(Weather_Site!J73+1)^1.5+Weather_Site!I73-1)&gt;10, 10,0.191*(Weather_Site!K73+104)*(Weather_Site!J73+1)^1.5/(3.52*(Weather_Site!J73+1)^1.5+Weather_Site!I73-1)))</f>
        <v>8.9000009999999996</v>
      </c>
      <c r="Q75" s="635">
        <f t="shared" si="16"/>
        <v>2.6518252163578535</v>
      </c>
      <c r="R75" s="636">
        <f t="shared" si="17"/>
        <v>0.10189439117058943</v>
      </c>
      <c r="S75" s="636">
        <f t="shared" si="18"/>
        <v>0.10061779535754278</v>
      </c>
      <c r="T75" s="635">
        <f t="shared" si="19"/>
        <v>1</v>
      </c>
      <c r="U75" s="707">
        <f t="shared" si="20"/>
        <v>3.0185338607262835E-3</v>
      </c>
      <c r="V75" s="707">
        <f t="shared" si="21"/>
        <v>41.819953546584252</v>
      </c>
      <c r="W75" s="707">
        <f t="shared" si="22"/>
        <v>81.822262326396213</v>
      </c>
      <c r="X75" s="636">
        <f t="shared" si="23"/>
        <v>1</v>
      </c>
      <c r="Y75" s="636">
        <f t="shared" si="24"/>
        <v>0</v>
      </c>
      <c r="Z75" s="637">
        <f t="shared" si="25"/>
        <v>41.819953546584252</v>
      </c>
      <c r="AA75" s="635">
        <f t="shared" si="26"/>
        <v>1.0320828218670604</v>
      </c>
      <c r="AB75" s="707">
        <f t="shared" si="27"/>
        <v>13.052419958359629</v>
      </c>
      <c r="AC75" s="644"/>
    </row>
    <row r="76" spans="1:29"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30"/>
        <v>0</v>
      </c>
      <c r="I76" s="27">
        <f t="shared" si="10"/>
        <v>2.4</v>
      </c>
      <c r="J76" s="738">
        <f>IF(Weather_Site!M74&lt;180,Weather_Site!M74+180,Weather_Site!M74-180)</f>
        <v>25</v>
      </c>
      <c r="K76" s="635">
        <f t="shared" si="11"/>
        <v>4.0307499999999994</v>
      </c>
      <c r="L76" s="635">
        <f t="shared" si="12"/>
        <v>4.6782000000000004</v>
      </c>
      <c r="M76" s="635">
        <f t="shared" si="13"/>
        <v>4.4913500000000006</v>
      </c>
      <c r="N76" s="635">
        <f t="shared" si="14"/>
        <v>4.6782000000000004</v>
      </c>
      <c r="O76" s="636">
        <f t="shared" si="15"/>
        <v>0.97708240445439354</v>
      </c>
      <c r="P76" s="635">
        <f>IF($O$11,Weather_Site!H74,IF(0.191*(Weather_Site!K74+104)*(Weather_Site!J74+1)^1.5/(3.52*(Weather_Site!J74+1)^1.5+Weather_Site!I74-1)&gt;10, 10,0.191*(Weather_Site!K74+104)*(Weather_Site!J74+1)^1.5/(3.52*(Weather_Site!J74+1)^1.5+Weather_Site!I74-1)))</f>
        <v>8.9000009999999996</v>
      </c>
      <c r="Q76" s="635">
        <f t="shared" si="16"/>
        <v>2.6518252163578535</v>
      </c>
      <c r="R76" s="636">
        <f t="shared" si="17"/>
        <v>0.10189439117058943</v>
      </c>
      <c r="S76" s="636">
        <f t="shared" si="18"/>
        <v>9.9559216725376043E-2</v>
      </c>
      <c r="T76" s="635">
        <f t="shared" si="19"/>
        <v>1</v>
      </c>
      <c r="U76" s="707">
        <f t="shared" si="20"/>
        <v>16.739281772350989</v>
      </c>
      <c r="V76" s="707">
        <f t="shared" si="21"/>
        <v>54.631946923084975</v>
      </c>
      <c r="W76" s="707">
        <f t="shared" si="22"/>
        <v>100.60167042999142</v>
      </c>
      <c r="X76" s="636">
        <f t="shared" si="23"/>
        <v>1</v>
      </c>
      <c r="Y76" s="636">
        <f t="shared" si="24"/>
        <v>0</v>
      </c>
      <c r="Z76" s="637">
        <f t="shared" si="25"/>
        <v>54.631946923084975</v>
      </c>
      <c r="AA76" s="635">
        <f t="shared" si="26"/>
        <v>1.252068800792421</v>
      </c>
      <c r="AB76" s="707">
        <f t="shared" si="27"/>
        <v>14.989010898563699</v>
      </c>
      <c r="AC76" s="644"/>
    </row>
    <row r="77" spans="1:29"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30"/>
        <v>0</v>
      </c>
      <c r="I77" s="27">
        <f t="shared" si="10"/>
        <v>2.2000000000000002</v>
      </c>
      <c r="J77" s="738">
        <f>IF(Weather_Site!M75&lt;180,Weather_Site!M75+180,Weather_Site!M75-180)</f>
        <v>22</v>
      </c>
      <c r="K77" s="635">
        <f t="shared" si="11"/>
        <v>4.0468900000000003</v>
      </c>
      <c r="L77" s="635">
        <f t="shared" si="12"/>
        <v>4.7041000000000004</v>
      </c>
      <c r="M77" s="635">
        <f t="shared" si="13"/>
        <v>4.5208100000000009</v>
      </c>
      <c r="N77" s="635">
        <f t="shared" si="14"/>
        <v>4.7041000000000004</v>
      </c>
      <c r="O77" s="636">
        <f t="shared" si="15"/>
        <v>0.97534038203165185</v>
      </c>
      <c r="P77" s="635">
        <f>IF($O$11,Weather_Site!H75,IF(0.191*(Weather_Site!K75+104)*(Weather_Site!J75+1)^1.5/(3.52*(Weather_Site!J75+1)^1.5+Weather_Site!I75-1)&gt;10, 10,0.191*(Weather_Site!K75+104)*(Weather_Site!J75+1)^1.5/(3.52*(Weather_Site!J75+1)^1.5+Weather_Site!I75-1)))</f>
        <v>8.9000009999999996</v>
      </c>
      <c r="Q77" s="635">
        <f t="shared" si="16"/>
        <v>2.6518252163578535</v>
      </c>
      <c r="R77" s="636">
        <f t="shared" si="17"/>
        <v>0.10189439117058943</v>
      </c>
      <c r="S77" s="636">
        <f t="shared" si="18"/>
        <v>9.9381714411205274E-2</v>
      </c>
      <c r="T77" s="635">
        <f t="shared" si="19"/>
        <v>1</v>
      </c>
      <c r="U77" s="707">
        <f t="shared" si="20"/>
        <v>14.882777691903852</v>
      </c>
      <c r="V77" s="707">
        <f t="shared" si="21"/>
        <v>48.016930731319896</v>
      </c>
      <c r="W77" s="707">
        <f t="shared" si="22"/>
        <v>90.534362611861056</v>
      </c>
      <c r="X77" s="636">
        <f t="shared" si="23"/>
        <v>1</v>
      </c>
      <c r="Y77" s="636">
        <f t="shared" si="24"/>
        <v>0</v>
      </c>
      <c r="Z77" s="637">
        <f t="shared" si="25"/>
        <v>48.016930731319896</v>
      </c>
      <c r="AA77" s="635">
        <f t="shared" si="26"/>
        <v>1.140518657875244</v>
      </c>
      <c r="AB77" s="707">
        <f t="shared" si="27"/>
        <v>14.021998227812141</v>
      </c>
      <c r="AC77" s="644"/>
    </row>
    <row r="78" spans="1:29"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30"/>
        <v>0</v>
      </c>
      <c r="I78" s="27">
        <f t="shared" si="10"/>
        <v>2.2000000000000002</v>
      </c>
      <c r="J78" s="738">
        <f>IF(Weather_Site!M76&lt;180,Weather_Site!M76+180,Weather_Site!M76-180)</f>
        <v>26</v>
      </c>
      <c r="K78" s="635">
        <f t="shared" si="11"/>
        <v>4.3402599999999998</v>
      </c>
      <c r="L78" s="635">
        <f t="shared" si="12"/>
        <v>5.1254000000000008</v>
      </c>
      <c r="M78" s="635">
        <f t="shared" si="13"/>
        <v>5.0095399999999994</v>
      </c>
      <c r="N78" s="635">
        <f t="shared" si="14"/>
        <v>5.0095399999999994</v>
      </c>
      <c r="O78" s="636">
        <f t="shared" si="15"/>
        <v>0.94400332614783655</v>
      </c>
      <c r="P78" s="635">
        <f>IF($O$11,Weather_Site!H76,IF(0.191*(Weather_Site!K76+104)*(Weather_Site!J76+1)^1.5/(3.52*(Weather_Site!J76+1)^1.5+Weather_Site!I76-1)&gt;10, 10,0.191*(Weather_Site!K76+104)*(Weather_Site!J76+1)^1.5/(3.52*(Weather_Site!J76+1)^1.5+Weather_Site!I76-1)))</f>
        <v>8.9000009999999996</v>
      </c>
      <c r="Q78" s="635">
        <f t="shared" si="16"/>
        <v>2.6518252163578535</v>
      </c>
      <c r="R78" s="636">
        <f t="shared" si="17"/>
        <v>0.10189439117058943</v>
      </c>
      <c r="S78" s="636">
        <f t="shared" si="18"/>
        <v>9.6188644180845176E-2</v>
      </c>
      <c r="T78" s="635">
        <f t="shared" si="19"/>
        <v>1</v>
      </c>
      <c r="U78" s="707">
        <f t="shared" si="20"/>
        <v>14.404603666886956</v>
      </c>
      <c r="V78" s="707">
        <f t="shared" si="21"/>
        <v>46.474177791507927</v>
      </c>
      <c r="W78" s="707">
        <f t="shared" si="22"/>
        <v>87.625552074698845</v>
      </c>
      <c r="X78" s="636">
        <f t="shared" si="23"/>
        <v>1</v>
      </c>
      <c r="Y78" s="636">
        <f t="shared" si="24"/>
        <v>0</v>
      </c>
      <c r="Z78" s="637">
        <f t="shared" si="25"/>
        <v>46.474177791507927</v>
      </c>
      <c r="AA78" s="635">
        <f t="shared" si="26"/>
        <v>1.1139054167440634</v>
      </c>
      <c r="AB78" s="707">
        <f t="shared" si="27"/>
        <v>13.571480490453196</v>
      </c>
      <c r="AC78" s="644"/>
    </row>
    <row r="79" spans="1:29" x14ac:dyDescent="0.25">
      <c r="A79" s="4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30"/>
        <v>0</v>
      </c>
      <c r="I79" s="413">
        <f t="shared" ref="I79:I142" si="31">G79/$O$10</f>
        <v>1.8</v>
      </c>
      <c r="J79" s="737">
        <f>IF(Weather_Site!M77&lt;180,Weather_Site!M77+180,Weather_Site!M77-180)</f>
        <v>19</v>
      </c>
      <c r="K79" s="711">
        <f t="shared" ref="K79:K142" si="32">2.76+0.124*E79-0.0187*D79</f>
        <v>5.1174299999999997</v>
      </c>
      <c r="L79" s="711">
        <f t="shared" ref="L79:L142" si="33">3.6+0.169*E79-0.045*D79</f>
        <v>6.2451000000000008</v>
      </c>
      <c r="M79" s="711">
        <f t="shared" ref="M79:M142" si="34">3.08+0.198*E79-0.0483*D79</f>
        <v>6.3076699999999999</v>
      </c>
      <c r="N79" s="711">
        <f t="shared" ref="N79:N142" si="35">IF(AND(OR(MONTH(B79)&gt;10,MONTH(B79)&lt;3),AND(HOUR(C79)&gt;=13,HOUR(C79)&lt;=17)),K79,IF(OR(HOUR(C79)&lt;6,HOUR(C79)&gt;=20),M79,L79))</f>
        <v>6.3076699999999999</v>
      </c>
      <c r="O79" s="713">
        <f t="shared" ref="O79:O142" si="36">IF(M79&lt;=4.1,1,IF(M79&gt;=24,0,(0.9082+0.1206*M79-0.03106*M79^2+0.001853*M79^3-0.00003467*M79^4)))</f>
        <v>0.84327953916030596</v>
      </c>
      <c r="P79" s="711">
        <f>IF($O$11,Weather_Site!H77,IF(0.191*(Weather_Site!K77+104)*(Weather_Site!J77+1)^1.5/(3.52*(Weather_Site!J77+1)^1.5+Weather_Site!I77-1)&gt;10, 10,0.191*(Weather_Site!K77+104)*(Weather_Site!J77+1)^1.5/(3.52*(Weather_Site!J77+1)^1.5+Weather_Site!I77-1)))</f>
        <v>8.9000009999999996</v>
      </c>
      <c r="Q79" s="711">
        <f t="shared" ref="Q79:Q142" si="37">P79*(MAX($S$9+$S$10,0)/10)</f>
        <v>2.6518252163578535</v>
      </c>
      <c r="R79" s="713">
        <f t="shared" ref="R79:R142" si="38">1.008/(1+104.9*EXP(-0.9306*Q79))</f>
        <v>0.10189439117058943</v>
      </c>
      <c r="S79" s="713">
        <f t="shared" ref="S79:S142" si="39">O79*R79</f>
        <v>8.5925455229354603E-2</v>
      </c>
      <c r="T79" s="711">
        <f t="shared" ref="T79:T142" si="40">MIN(IF(H79&gt;0,2^(H79/10),(2^(-H79/10))/(2*(2^(-H79/10))-1)),4)</f>
        <v>1</v>
      </c>
      <c r="U79" s="716">
        <f t="shared" ref="U79:U142" si="41">IF(I79&gt;2,(0.03+0.05024*(I79-1)^0.92628*(($E$6+$E$7)/10)^0.79928)*1000*S79*T79,0.03*S79*T79)</f>
        <v>2.5777636568806378E-3</v>
      </c>
      <c r="V79" s="716">
        <f t="shared" ref="V79:V142" si="42">(0.19591*(I79-1)^0.82569*(($E$6+$E$7)/10)^0.46722)*$C$10^0.495*1000*S79*T79</f>
        <v>29.70386496321526</v>
      </c>
      <c r="W79" s="716">
        <f t="shared" ref="W79:W142" si="43">(0.05235*(G79)^1.19128)*1000*S79*T79</f>
        <v>61.632324022132124</v>
      </c>
      <c r="X79" s="713">
        <f t="shared" ref="X79:X142" si="44">IF((E$6+E$7)&lt;1,0,1/(1+EXP(-(-23.9315+1.7033*I79+12.0822*S79+9.5236*($E$6+$E$7)))))</f>
        <v>1</v>
      </c>
      <c r="Y79" s="713">
        <f t="shared" ref="Y79:Y142" si="45">IF(V79&lt;300,0,1/(1+EXP(-(-32.3074+0.2951*G79+26.8734*S79))))</f>
        <v>0</v>
      </c>
      <c r="Z79" s="710">
        <f t="shared" ref="Z79:Z142" si="46">IF(X79&lt;0.5,(U79*(1-X79)+V79*X79),(U79*(1-X79)+V79*X79*(1-Y79)+W79*Y79))</f>
        <v>29.70386496321526</v>
      </c>
      <c r="AA79" s="711">
        <f t="shared" ref="AA79:AA142" si="47">0.0193*Z79^0.723*EXP(0.64*$C$10)</f>
        <v>0.80593128972079175</v>
      </c>
      <c r="AB79" s="716">
        <f t="shared" ref="AB79:AB142" si="48">(1/(0.2204*G79+1))*Z79</f>
        <v>9.9557128848422245</v>
      </c>
      <c r="AC79" s="719"/>
    </row>
    <row r="80" spans="1:29" x14ac:dyDescent="0.25">
      <c r="A80" s="4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30"/>
        <v>0</v>
      </c>
      <c r="I80" s="413">
        <f t="shared" si="31"/>
        <v>1.6</v>
      </c>
      <c r="J80" s="737">
        <f>IF(Weather_Site!M78&lt;180,Weather_Site!M78+180,Weather_Site!M78-180)</f>
        <v>12</v>
      </c>
      <c r="K80" s="711">
        <f t="shared" si="32"/>
        <v>5.7345799999999993</v>
      </c>
      <c r="L80" s="711">
        <f t="shared" si="33"/>
        <v>7.1350000000000007</v>
      </c>
      <c r="M80" s="711">
        <f t="shared" si="34"/>
        <v>7.339220000000001</v>
      </c>
      <c r="N80" s="711">
        <f t="shared" si="35"/>
        <v>7.339220000000001</v>
      </c>
      <c r="O80" s="713">
        <f t="shared" si="36"/>
        <v>0.75222926946876079</v>
      </c>
      <c r="P80" s="711">
        <f>IF($O$11,Weather_Site!H78,IF(0.191*(Weather_Site!K78+104)*(Weather_Site!J78+1)^1.5/(3.52*(Weather_Site!J78+1)^1.5+Weather_Site!I78-1)&gt;10, 10,0.191*(Weather_Site!K78+104)*(Weather_Site!J78+1)^1.5/(3.52*(Weather_Site!J78+1)^1.5+Weather_Site!I78-1)))</f>
        <v>8.9000009999999996</v>
      </c>
      <c r="Q80" s="711">
        <f t="shared" si="37"/>
        <v>2.6518252163578535</v>
      </c>
      <c r="R80" s="713">
        <f t="shared" si="38"/>
        <v>0.10189439117058943</v>
      </c>
      <c r="S80" s="713">
        <f t="shared" si="39"/>
        <v>7.6647943433216639E-2</v>
      </c>
      <c r="T80" s="711">
        <f t="shared" si="40"/>
        <v>1</v>
      </c>
      <c r="U80" s="716">
        <f t="shared" si="41"/>
        <v>2.299438302996499E-3</v>
      </c>
      <c r="V80" s="716">
        <f t="shared" si="42"/>
        <v>20.89445084723453</v>
      </c>
      <c r="W80" s="716">
        <f t="shared" si="43"/>
        <v>47.780449638199542</v>
      </c>
      <c r="X80" s="713">
        <f t="shared" si="44"/>
        <v>1</v>
      </c>
      <c r="Y80" s="713">
        <f t="shared" si="45"/>
        <v>0</v>
      </c>
      <c r="Z80" s="710">
        <f t="shared" si="46"/>
        <v>20.89445084723453</v>
      </c>
      <c r="AA80" s="711">
        <f t="shared" si="47"/>
        <v>0.62493756506081444</v>
      </c>
      <c r="AB80" s="716">
        <f t="shared" si="48"/>
        <v>7.5616860333072262</v>
      </c>
      <c r="AC80" s="719"/>
    </row>
    <row r="81" spans="1:29" x14ac:dyDescent="0.25">
      <c r="A81" s="4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30"/>
        <v>0</v>
      </c>
      <c r="I81" s="413">
        <f t="shared" si="31"/>
        <v>1.4</v>
      </c>
      <c r="J81" s="737">
        <f>IF(Weather_Site!M79&lt;180,Weather_Site!M79+180,Weather_Site!M79-180)</f>
        <v>5</v>
      </c>
      <c r="K81" s="711">
        <f t="shared" si="32"/>
        <v>6.2078500000000005</v>
      </c>
      <c r="L81" s="711">
        <f t="shared" si="33"/>
        <v>7.8210000000000006</v>
      </c>
      <c r="M81" s="711">
        <f t="shared" si="34"/>
        <v>8.1336499999999994</v>
      </c>
      <c r="N81" s="711">
        <f t="shared" si="35"/>
        <v>8.1336499999999994</v>
      </c>
      <c r="O81" s="713">
        <f t="shared" si="36"/>
        <v>0.67965044982292178</v>
      </c>
      <c r="P81" s="711">
        <f>IF($O$11,Weather_Site!H79,IF(0.191*(Weather_Site!K79+104)*(Weather_Site!J79+1)^1.5/(3.52*(Weather_Site!J79+1)^1.5+Weather_Site!I79-1)&gt;10, 10,0.191*(Weather_Site!K79+104)*(Weather_Site!J79+1)^1.5/(3.52*(Weather_Site!J79+1)^1.5+Weather_Site!I79-1)))</f>
        <v>8.9000009999999996</v>
      </c>
      <c r="Q81" s="711">
        <f t="shared" si="37"/>
        <v>2.6518252163578535</v>
      </c>
      <c r="R81" s="713">
        <f t="shared" si="38"/>
        <v>0.10189439117058943</v>
      </c>
      <c r="S81" s="713">
        <f t="shared" si="39"/>
        <v>6.9252568793523858E-2</v>
      </c>
      <c r="T81" s="711">
        <f t="shared" si="40"/>
        <v>1</v>
      </c>
      <c r="U81" s="716">
        <f t="shared" si="41"/>
        <v>2.0775770638057156E-3</v>
      </c>
      <c r="V81" s="716">
        <f t="shared" si="42"/>
        <v>13.507331247736774</v>
      </c>
      <c r="W81" s="716">
        <f t="shared" si="43"/>
        <v>36.821456766713695</v>
      </c>
      <c r="X81" s="713">
        <f t="shared" si="44"/>
        <v>1</v>
      </c>
      <c r="Y81" s="713">
        <f t="shared" si="45"/>
        <v>0</v>
      </c>
      <c r="Z81" s="710">
        <f t="shared" si="46"/>
        <v>13.507331247736774</v>
      </c>
      <c r="AA81" s="711">
        <f t="shared" si="47"/>
        <v>0.45588576417129673</v>
      </c>
      <c r="AB81" s="716">
        <f t="shared" si="48"/>
        <v>5.3119912095865871</v>
      </c>
      <c r="AC81" s="719"/>
    </row>
    <row r="82" spans="1:29" x14ac:dyDescent="0.25">
      <c r="A82" s="4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30"/>
        <v>0</v>
      </c>
      <c r="I82" s="413">
        <f t="shared" si="31"/>
        <v>1.4</v>
      </c>
      <c r="J82" s="737">
        <f>IF(Weather_Site!M80&lt;180,Weather_Site!M80+180,Weather_Site!M80-180)</f>
        <v>2</v>
      </c>
      <c r="K82" s="711">
        <f t="shared" si="32"/>
        <v>6.5346799999999998</v>
      </c>
      <c r="L82" s="711">
        <f t="shared" si="33"/>
        <v>8.2840000000000007</v>
      </c>
      <c r="M82" s="711">
        <f t="shared" si="34"/>
        <v>8.6721200000000014</v>
      </c>
      <c r="N82" s="711">
        <f t="shared" si="35"/>
        <v>8.6721200000000014</v>
      </c>
      <c r="O82" s="713">
        <f t="shared" si="36"/>
        <v>0.63059273188450493</v>
      </c>
      <c r="P82" s="711">
        <f>IF($O$11,Weather_Site!H80,IF(0.191*(Weather_Site!K80+104)*(Weather_Site!J80+1)^1.5/(3.52*(Weather_Site!J80+1)^1.5+Weather_Site!I80-1)&gt;10, 10,0.191*(Weather_Site!K80+104)*(Weather_Site!J80+1)^1.5/(3.52*(Weather_Site!J80+1)^1.5+Weather_Site!I80-1)))</f>
        <v>8.9000009999999996</v>
      </c>
      <c r="Q82" s="711">
        <f t="shared" si="37"/>
        <v>2.6518252163578535</v>
      </c>
      <c r="R82" s="713">
        <f t="shared" si="38"/>
        <v>0.10189439117058943</v>
      </c>
      <c r="S82" s="713">
        <f t="shared" si="39"/>
        <v>6.4253862491970362E-2</v>
      </c>
      <c r="T82" s="711">
        <f t="shared" si="40"/>
        <v>1</v>
      </c>
      <c r="U82" s="716">
        <f t="shared" si="41"/>
        <v>1.9276158747591108E-3</v>
      </c>
      <c r="V82" s="716">
        <f t="shared" si="42"/>
        <v>12.532361178012136</v>
      </c>
      <c r="W82" s="716">
        <f t="shared" si="43"/>
        <v>34.16365430279464</v>
      </c>
      <c r="X82" s="713">
        <f t="shared" si="44"/>
        <v>1</v>
      </c>
      <c r="Y82" s="713">
        <f t="shared" si="45"/>
        <v>0</v>
      </c>
      <c r="Z82" s="710">
        <f t="shared" si="46"/>
        <v>12.532361178012136</v>
      </c>
      <c r="AA82" s="711">
        <f t="shared" si="47"/>
        <v>0.43184911549494315</v>
      </c>
      <c r="AB82" s="716">
        <f t="shared" si="48"/>
        <v>4.9285673973620172</v>
      </c>
      <c r="AC82" s="719"/>
    </row>
    <row r="83" spans="1:29" x14ac:dyDescent="0.25">
      <c r="A83" s="4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si="30"/>
        <v>0</v>
      </c>
      <c r="I83" s="413">
        <f t="shared" si="31"/>
        <v>1.8</v>
      </c>
      <c r="J83" s="737">
        <f>IF(Weather_Site!M81&lt;180,Weather_Site!M81+180,Weather_Site!M81-180)</f>
        <v>16</v>
      </c>
      <c r="K83" s="711">
        <f t="shared" si="32"/>
        <v>6.7536500000000004</v>
      </c>
      <c r="L83" s="711">
        <f t="shared" si="33"/>
        <v>8.6039000000000012</v>
      </c>
      <c r="M83" s="711">
        <f t="shared" si="34"/>
        <v>9.0420500000000015</v>
      </c>
      <c r="N83" s="711">
        <f t="shared" si="35"/>
        <v>9.0420500000000015</v>
      </c>
      <c r="O83" s="713">
        <f t="shared" si="36"/>
        <v>0.59735591471961325</v>
      </c>
      <c r="P83" s="711">
        <f>IF($O$11,Weather_Site!H81,IF(0.191*(Weather_Site!K81+104)*(Weather_Site!J81+1)^1.5/(3.52*(Weather_Site!J81+1)^1.5+Weather_Site!I81-1)&gt;10, 10,0.191*(Weather_Site!K81+104)*(Weather_Site!J81+1)^1.5/(3.52*(Weather_Site!J81+1)^1.5+Weather_Site!I81-1)))</f>
        <v>8.9000009999999996</v>
      </c>
      <c r="Q83" s="711">
        <f t="shared" si="37"/>
        <v>2.6518252163578535</v>
      </c>
      <c r="R83" s="713">
        <f t="shared" si="38"/>
        <v>0.10189439117058943</v>
      </c>
      <c r="S83" s="713">
        <f t="shared" si="39"/>
        <v>6.0867217242505531E-2</v>
      </c>
      <c r="T83" s="711">
        <f t="shared" si="40"/>
        <v>1</v>
      </c>
      <c r="U83" s="716">
        <f t="shared" si="41"/>
        <v>1.8260165172751658E-3</v>
      </c>
      <c r="V83" s="716">
        <f t="shared" si="42"/>
        <v>21.04139683440874</v>
      </c>
      <c r="W83" s="716">
        <f t="shared" si="43"/>
        <v>43.658634631638542</v>
      </c>
      <c r="X83" s="713">
        <f t="shared" si="44"/>
        <v>1</v>
      </c>
      <c r="Y83" s="713">
        <f t="shared" si="45"/>
        <v>0</v>
      </c>
      <c r="Z83" s="710">
        <f t="shared" si="46"/>
        <v>21.04139683440874</v>
      </c>
      <c r="AA83" s="711">
        <f t="shared" si="47"/>
        <v>0.6281120972423061</v>
      </c>
      <c r="AB83" s="716">
        <f t="shared" si="48"/>
        <v>7.0523518013167781</v>
      </c>
      <c r="AC83" s="719"/>
    </row>
    <row r="84" spans="1:29"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115" si="49">C$4</f>
        <v>0</v>
      </c>
      <c r="I84" s="27">
        <f t="shared" si="31"/>
        <v>2.2000000000000002</v>
      </c>
      <c r="J84" s="738">
        <f>IF(Weather_Site!M82&lt;180,Weather_Site!M82+180,Weather_Site!M82-180)</f>
        <v>359</v>
      </c>
      <c r="K84" s="635">
        <f t="shared" si="32"/>
        <v>6.981279999999999</v>
      </c>
      <c r="L84" s="635">
        <f t="shared" si="33"/>
        <v>8.9317000000000011</v>
      </c>
      <c r="M84" s="635">
        <f t="shared" si="34"/>
        <v>9.4221199999999996</v>
      </c>
      <c r="N84" s="635">
        <f t="shared" si="35"/>
        <v>9.4221199999999996</v>
      </c>
      <c r="O84" s="636">
        <f t="shared" si="36"/>
        <v>0.56383474865886041</v>
      </c>
      <c r="P84" s="635">
        <f>IF($O$11,Weather_Site!H82,IF(0.191*(Weather_Site!K82+104)*(Weather_Site!J82+1)^1.5/(3.52*(Weather_Site!J82+1)^1.5+Weather_Site!I82-1)&gt;10, 10,0.191*(Weather_Site!K82+104)*(Weather_Site!J82+1)^1.5/(3.52*(Weather_Site!J82+1)^1.5+Weather_Site!I82-1)))</f>
        <v>8.9000009999999996</v>
      </c>
      <c r="Q84" s="635">
        <f t="shared" si="37"/>
        <v>2.6518252163578535</v>
      </c>
      <c r="R84" s="636">
        <f t="shared" si="38"/>
        <v>0.10189439117058943</v>
      </c>
      <c r="S84" s="636">
        <f t="shared" si="39"/>
        <v>5.7451598435416897E-2</v>
      </c>
      <c r="T84" s="635">
        <f t="shared" si="40"/>
        <v>1</v>
      </c>
      <c r="U84" s="707">
        <f t="shared" si="41"/>
        <v>8.603588422926574</v>
      </c>
      <c r="V84" s="707">
        <f t="shared" si="42"/>
        <v>27.758118672241203</v>
      </c>
      <c r="W84" s="707">
        <f t="shared" si="43"/>
        <v>52.337030772701297</v>
      </c>
      <c r="X84" s="636">
        <f t="shared" si="44"/>
        <v>1</v>
      </c>
      <c r="Y84" s="636">
        <f t="shared" si="45"/>
        <v>0</v>
      </c>
      <c r="Z84" s="637">
        <f t="shared" si="46"/>
        <v>27.758118672241203</v>
      </c>
      <c r="AA84" s="635">
        <f t="shared" si="47"/>
        <v>0.76740608086047946</v>
      </c>
      <c r="AB84" s="707">
        <f t="shared" si="48"/>
        <v>8.1059802220071262</v>
      </c>
      <c r="AC84" s="644"/>
    </row>
    <row r="85" spans="1:29"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49"/>
        <v>0</v>
      </c>
      <c r="I85" s="27">
        <f t="shared" si="31"/>
        <v>2.2000000000000002</v>
      </c>
      <c r="J85" s="738">
        <f>IF(Weather_Site!M83&lt;180,Weather_Site!M83+180,Weather_Site!M83-180)</f>
        <v>357</v>
      </c>
      <c r="K85" s="635">
        <f t="shared" si="32"/>
        <v>7.5331799999999998</v>
      </c>
      <c r="L85" s="635">
        <f t="shared" si="33"/>
        <v>9.703400000000002</v>
      </c>
      <c r="M85" s="635">
        <f t="shared" si="34"/>
        <v>10.321820000000001</v>
      </c>
      <c r="N85" s="635">
        <f t="shared" si="35"/>
        <v>10.321820000000001</v>
      </c>
      <c r="O85" s="636">
        <f t="shared" si="36"/>
        <v>0.48806791702150337</v>
      </c>
      <c r="P85" s="635">
        <f>IF($O$11,Weather_Site!H83,IF(0.191*(Weather_Site!K83+104)*(Weather_Site!J83+1)^1.5/(3.52*(Weather_Site!J83+1)^1.5+Weather_Site!I83-1)&gt;10, 10,0.191*(Weather_Site!K83+104)*(Weather_Site!J83+1)^1.5/(3.52*(Weather_Site!J83+1)^1.5+Weather_Site!I83-1)))</f>
        <v>8.9000009999999996</v>
      </c>
      <c r="Q85" s="635">
        <f t="shared" si="37"/>
        <v>2.6518252163578535</v>
      </c>
      <c r="R85" s="636">
        <f t="shared" si="38"/>
        <v>0.10189439117058943</v>
      </c>
      <c r="S85" s="636">
        <f t="shared" si="39"/>
        <v>4.9731383254803849E-2</v>
      </c>
      <c r="T85" s="635">
        <f t="shared" si="40"/>
        <v>1</v>
      </c>
      <c r="U85" s="707">
        <f t="shared" si="41"/>
        <v>7.4474577710511367</v>
      </c>
      <c r="V85" s="707">
        <f t="shared" si="42"/>
        <v>24.028045793597194</v>
      </c>
      <c r="W85" s="707">
        <f t="shared" si="43"/>
        <v>45.30409956655167</v>
      </c>
      <c r="X85" s="636">
        <f t="shared" si="44"/>
        <v>1</v>
      </c>
      <c r="Y85" s="636">
        <f t="shared" si="45"/>
        <v>0</v>
      </c>
      <c r="Z85" s="637">
        <f t="shared" si="46"/>
        <v>24.028045793597194</v>
      </c>
      <c r="AA85" s="635">
        <f t="shared" si="47"/>
        <v>0.69137502295467645</v>
      </c>
      <c r="AB85" s="707">
        <f t="shared" si="48"/>
        <v>7.0167170288509499</v>
      </c>
      <c r="AC85" s="644"/>
    </row>
    <row r="86" spans="1:29"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49"/>
        <v>0</v>
      </c>
      <c r="I86" s="27">
        <f t="shared" si="31"/>
        <v>2.4</v>
      </c>
      <c r="J86" s="738">
        <f>IF(Weather_Site!M84&lt;180,Weather_Site!M84+180,Weather_Site!M84-180)</f>
        <v>1</v>
      </c>
      <c r="K86" s="635">
        <f t="shared" si="32"/>
        <v>7.9660000000000002</v>
      </c>
      <c r="L86" s="635">
        <f t="shared" si="33"/>
        <v>10.305</v>
      </c>
      <c r="M86" s="635">
        <f t="shared" si="34"/>
        <v>11.024000000000001</v>
      </c>
      <c r="N86" s="635">
        <f t="shared" si="35"/>
        <v>11.024000000000001</v>
      </c>
      <c r="O86" s="636">
        <f t="shared" si="36"/>
        <v>0.43349042969821372</v>
      </c>
      <c r="P86" s="635">
        <f>IF($O$11,Weather_Site!H84,IF(0.191*(Weather_Site!K84+104)*(Weather_Site!J84+1)^1.5/(3.52*(Weather_Site!J84+1)^1.5+Weather_Site!I84-1)&gt;10, 10,0.191*(Weather_Site!K84+104)*(Weather_Site!J84+1)^1.5/(3.52*(Weather_Site!J84+1)^1.5+Weather_Site!I84-1)))</f>
        <v>8.9000009999999996</v>
      </c>
      <c r="Q86" s="635">
        <f t="shared" si="37"/>
        <v>2.6518252163578535</v>
      </c>
      <c r="R86" s="636">
        <f t="shared" si="38"/>
        <v>0.10189439117058943</v>
      </c>
      <c r="S86" s="636">
        <f t="shared" si="39"/>
        <v>4.4170243412376686E-2</v>
      </c>
      <c r="T86" s="635">
        <f t="shared" si="40"/>
        <v>1</v>
      </c>
      <c r="U86" s="707">
        <f t="shared" si="41"/>
        <v>7.4265163462726171</v>
      </c>
      <c r="V86" s="707">
        <f t="shared" si="42"/>
        <v>24.23790054858522</v>
      </c>
      <c r="W86" s="707">
        <f t="shared" si="43"/>
        <v>44.632736342649601</v>
      </c>
      <c r="X86" s="636">
        <f t="shared" si="44"/>
        <v>1</v>
      </c>
      <c r="Y86" s="636">
        <f t="shared" si="45"/>
        <v>0</v>
      </c>
      <c r="Z86" s="637">
        <f t="shared" si="46"/>
        <v>24.23790054858522</v>
      </c>
      <c r="AA86" s="635">
        <f t="shared" si="47"/>
        <v>0.69573544615120853</v>
      </c>
      <c r="AB86" s="707">
        <f t="shared" si="48"/>
        <v>6.6499946632422127</v>
      </c>
      <c r="AC86" s="644"/>
    </row>
    <row r="87" spans="1:29"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49"/>
        <v>0</v>
      </c>
      <c r="I87" s="27">
        <f t="shared" si="31"/>
        <v>3.2</v>
      </c>
      <c r="J87" s="738">
        <f>IF(Weather_Site!M85&lt;180,Weather_Site!M85+180,Weather_Site!M85-180)</f>
        <v>4</v>
      </c>
      <c r="K87" s="635">
        <f t="shared" si="32"/>
        <v>8.5141600000000004</v>
      </c>
      <c r="L87" s="635">
        <f t="shared" si="33"/>
        <v>11.067699999999999</v>
      </c>
      <c r="M87" s="635">
        <f t="shared" si="34"/>
        <v>11.91404</v>
      </c>
      <c r="N87" s="635">
        <f t="shared" si="35"/>
        <v>11.91404</v>
      </c>
      <c r="O87" s="636">
        <f t="shared" si="36"/>
        <v>0.37136880743611833</v>
      </c>
      <c r="P87" s="635">
        <f>IF($O$11,Weather_Site!H85,IF(0.191*(Weather_Site!K85+104)*(Weather_Site!J85+1)^1.5/(3.52*(Weather_Site!J85+1)^1.5+Weather_Site!I85-1)&gt;10, 10,0.191*(Weather_Site!K85+104)*(Weather_Site!J85+1)^1.5/(3.52*(Weather_Site!J85+1)^1.5+Weather_Site!I85-1)))</f>
        <v>8.9000009999999996</v>
      </c>
      <c r="Q87" s="635">
        <f t="shared" si="37"/>
        <v>2.6518252163578535</v>
      </c>
      <c r="R87" s="636">
        <f t="shared" si="38"/>
        <v>0.10189439117058943</v>
      </c>
      <c r="S87" s="636">
        <f t="shared" si="39"/>
        <v>3.7840398533451142E-2</v>
      </c>
      <c r="T87" s="635">
        <f t="shared" si="40"/>
        <v>1</v>
      </c>
      <c r="U87" s="707">
        <f t="shared" si="41"/>
        <v>9.0799549833907633</v>
      </c>
      <c r="V87" s="707">
        <f t="shared" si="42"/>
        <v>30.15778452467049</v>
      </c>
      <c r="W87" s="707">
        <f t="shared" si="43"/>
        <v>53.866212580202365</v>
      </c>
      <c r="X87" s="636">
        <f t="shared" si="44"/>
        <v>1</v>
      </c>
      <c r="Y87" s="636">
        <f t="shared" si="45"/>
        <v>0</v>
      </c>
      <c r="Z87" s="637">
        <f t="shared" si="46"/>
        <v>30.15778452467049</v>
      </c>
      <c r="AA87" s="635">
        <f t="shared" si="47"/>
        <v>0.81481691590741834</v>
      </c>
      <c r="AB87" s="707">
        <f t="shared" si="48"/>
        <v>6.6626423923361795</v>
      </c>
      <c r="AC87" s="644"/>
    </row>
    <row r="88" spans="1:29"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49"/>
        <v>0</v>
      </c>
      <c r="I88" s="27">
        <f t="shared" si="31"/>
        <v>3.4</v>
      </c>
      <c r="J88" s="738">
        <f>IF(Weather_Site!M86&lt;180,Weather_Site!M86+180,Weather_Site!M86-180)</f>
        <v>2</v>
      </c>
      <c r="K88" s="635">
        <f t="shared" si="32"/>
        <v>8.8409899999999997</v>
      </c>
      <c r="L88" s="635">
        <f t="shared" si="33"/>
        <v>11.530700000000001</v>
      </c>
      <c r="M88" s="635">
        <f t="shared" si="34"/>
        <v>12.45251</v>
      </c>
      <c r="N88" s="635">
        <f t="shared" si="35"/>
        <v>11.530700000000001</v>
      </c>
      <c r="O88" s="636">
        <f t="shared" si="36"/>
        <v>0.33805571192448292</v>
      </c>
      <c r="P88" s="635">
        <f>IF($O$11,Weather_Site!H86,IF(0.191*(Weather_Site!K86+104)*(Weather_Site!J86+1)^1.5/(3.52*(Weather_Site!J86+1)^1.5+Weather_Site!I86-1)&gt;10, 10,0.191*(Weather_Site!K86+104)*(Weather_Site!J86+1)^1.5/(3.52*(Weather_Site!J86+1)^1.5+Weather_Site!I86-1)))</f>
        <v>8.9000009999999996</v>
      </c>
      <c r="Q88" s="635">
        <f t="shared" si="37"/>
        <v>2.6518252163578535</v>
      </c>
      <c r="R88" s="636">
        <f t="shared" si="38"/>
        <v>0.10189439117058943</v>
      </c>
      <c r="S88" s="636">
        <f t="shared" si="39"/>
        <v>3.4445980948285354E-2</v>
      </c>
      <c r="T88" s="635">
        <f t="shared" si="40"/>
        <v>1</v>
      </c>
      <c r="U88" s="707">
        <f t="shared" si="41"/>
        <v>8.8724666748381615</v>
      </c>
      <c r="V88" s="707">
        <f t="shared" si="42"/>
        <v>29.497412806679712</v>
      </c>
      <c r="W88" s="707">
        <f t="shared" si="43"/>
        <v>52.706531126661908</v>
      </c>
      <c r="X88" s="636">
        <f t="shared" si="44"/>
        <v>1</v>
      </c>
      <c r="Y88" s="636">
        <f t="shared" si="45"/>
        <v>0</v>
      </c>
      <c r="Z88" s="637">
        <f t="shared" si="46"/>
        <v>29.497412806679712</v>
      </c>
      <c r="AA88" s="635">
        <f t="shared" si="47"/>
        <v>0.80187749383317342</v>
      </c>
      <c r="AB88" s="707">
        <f t="shared" si="48"/>
        <v>6.2141680303951521</v>
      </c>
      <c r="AC88" s="644"/>
    </row>
    <row r="89" spans="1:29" x14ac:dyDescent="0.25">
      <c r="A89" s="4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49"/>
        <v>0</v>
      </c>
      <c r="I89" s="413">
        <f t="shared" si="31"/>
        <v>3.6</v>
      </c>
      <c r="J89" s="737">
        <f>IF(Weather_Site!M87&lt;180,Weather_Site!M87+180,Weather_Site!M87-180)</f>
        <v>356</v>
      </c>
      <c r="K89" s="711">
        <f t="shared" si="32"/>
        <v>8.4682999999999993</v>
      </c>
      <c r="L89" s="711">
        <f t="shared" si="33"/>
        <v>11.0091</v>
      </c>
      <c r="M89" s="711">
        <f t="shared" si="34"/>
        <v>11.8445</v>
      </c>
      <c r="N89" s="711">
        <f t="shared" si="35"/>
        <v>11.0091</v>
      </c>
      <c r="O89" s="713">
        <f t="shared" si="36"/>
        <v>0.37591317347001574</v>
      </c>
      <c r="P89" s="711">
        <f>IF($O$11,Weather_Site!H87,IF(0.191*(Weather_Site!K87+104)*(Weather_Site!J87+1)^1.5/(3.52*(Weather_Site!J87+1)^1.5+Weather_Site!I87-1)&gt;10, 10,0.191*(Weather_Site!K87+104)*(Weather_Site!J87+1)^1.5/(3.52*(Weather_Site!J87+1)^1.5+Weather_Site!I87-1)))</f>
        <v>8.9000009999999996</v>
      </c>
      <c r="Q89" s="711">
        <f t="shared" si="37"/>
        <v>2.6518252163578535</v>
      </c>
      <c r="R89" s="713">
        <f t="shared" si="38"/>
        <v>0.10189439117058943</v>
      </c>
      <c r="S89" s="713">
        <f t="shared" si="39"/>
        <v>3.8303443943731426E-2</v>
      </c>
      <c r="T89" s="711">
        <f t="shared" si="40"/>
        <v>1</v>
      </c>
      <c r="U89" s="716">
        <f t="shared" si="41"/>
        <v>10.536911534951422</v>
      </c>
      <c r="V89" s="716">
        <f t="shared" si="42"/>
        <v>35.041760463769364</v>
      </c>
      <c r="W89" s="716">
        <f t="shared" si="43"/>
        <v>62.738703532973901</v>
      </c>
      <c r="X89" s="713">
        <f t="shared" si="44"/>
        <v>1</v>
      </c>
      <c r="Y89" s="713">
        <f t="shared" si="45"/>
        <v>0</v>
      </c>
      <c r="Z89" s="710">
        <f t="shared" si="46"/>
        <v>35.041760463769364</v>
      </c>
      <c r="AA89" s="711">
        <f t="shared" si="47"/>
        <v>0.90821749513346373</v>
      </c>
      <c r="AB89" s="716">
        <f t="shared" si="48"/>
        <v>7.0546304686280727</v>
      </c>
      <c r="AC89" s="719"/>
    </row>
    <row r="90" spans="1:29" x14ac:dyDescent="0.25">
      <c r="A90" s="4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49"/>
        <v>0</v>
      </c>
      <c r="I90" s="413">
        <f t="shared" si="31"/>
        <v>4.4000000000000004</v>
      </c>
      <c r="J90" s="737">
        <f>IF(Weather_Site!M88&lt;180,Weather_Site!M88+180,Weather_Site!M88-180)</f>
        <v>359</v>
      </c>
      <c r="K90" s="711">
        <f t="shared" si="32"/>
        <v>7.691819999999999</v>
      </c>
      <c r="L90" s="711">
        <f t="shared" si="33"/>
        <v>9.9040000000000017</v>
      </c>
      <c r="M90" s="711">
        <f t="shared" si="34"/>
        <v>10.560380000000002</v>
      </c>
      <c r="N90" s="711">
        <f t="shared" si="35"/>
        <v>9.9040000000000017</v>
      </c>
      <c r="O90" s="713">
        <f t="shared" si="36"/>
        <v>0.46902482365194015</v>
      </c>
      <c r="P90" s="711">
        <f>IF($O$11,Weather_Site!H88,IF(0.191*(Weather_Site!K88+104)*(Weather_Site!J88+1)^1.5/(3.52*(Weather_Site!J88+1)^1.5+Weather_Site!I88-1)&gt;10, 10,0.191*(Weather_Site!K88+104)*(Weather_Site!J88+1)^1.5/(3.52*(Weather_Site!J88+1)^1.5+Weather_Site!I88-1)))</f>
        <v>8.9000009999999996</v>
      </c>
      <c r="Q90" s="711">
        <f t="shared" si="37"/>
        <v>2.6518252163578535</v>
      </c>
      <c r="R90" s="713">
        <f t="shared" si="38"/>
        <v>0.10189439117058943</v>
      </c>
      <c r="S90" s="713">
        <f t="shared" si="39"/>
        <v>4.7790998849907514E-2</v>
      </c>
      <c r="T90" s="711">
        <f t="shared" si="40"/>
        <v>1</v>
      </c>
      <c r="U90" s="716">
        <f t="shared" si="41"/>
        <v>16.450940548271404</v>
      </c>
      <c r="V90" s="716">
        <f t="shared" si="42"/>
        <v>54.562176155254122</v>
      </c>
      <c r="W90" s="716">
        <f t="shared" si="43"/>
        <v>99.41778541338094</v>
      </c>
      <c r="X90" s="713">
        <f t="shared" si="44"/>
        <v>1</v>
      </c>
      <c r="Y90" s="713">
        <f t="shared" si="45"/>
        <v>0</v>
      </c>
      <c r="Z90" s="710">
        <f t="shared" si="46"/>
        <v>54.562176155254122</v>
      </c>
      <c r="AA90" s="711">
        <f t="shared" si="47"/>
        <v>1.2509125017434313</v>
      </c>
      <c r="AB90" s="716">
        <f t="shared" si="48"/>
        <v>9.3287813150140408</v>
      </c>
      <c r="AC90" s="719"/>
    </row>
    <row r="91" spans="1:29" x14ac:dyDescent="0.25">
      <c r="A91" s="4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49"/>
        <v>0</v>
      </c>
      <c r="I91" s="413">
        <f t="shared" si="31"/>
        <v>3</v>
      </c>
      <c r="J91" s="737">
        <f>IF(Weather_Site!M89&lt;180,Weather_Site!M89+180,Weather_Site!M89-180)</f>
        <v>347</v>
      </c>
      <c r="K91" s="711">
        <f t="shared" si="32"/>
        <v>7.2805499999999999</v>
      </c>
      <c r="L91" s="711">
        <f t="shared" si="33"/>
        <v>9.302500000000002</v>
      </c>
      <c r="M91" s="711">
        <f t="shared" si="34"/>
        <v>9.8649500000000003</v>
      </c>
      <c r="N91" s="711">
        <f t="shared" si="35"/>
        <v>9.302500000000002</v>
      </c>
      <c r="O91" s="713">
        <f t="shared" si="36"/>
        <v>0.5258273023028166</v>
      </c>
      <c r="P91" s="711">
        <f>IF($O$11,Weather_Site!H89,IF(0.191*(Weather_Site!K89+104)*(Weather_Site!J89+1)^1.5/(3.52*(Weather_Site!J89+1)^1.5+Weather_Site!I89-1)&gt;10, 10,0.191*(Weather_Site!K89+104)*(Weather_Site!J89+1)^1.5/(3.52*(Weather_Site!J89+1)^1.5+Weather_Site!I89-1)))</f>
        <v>8.9000009999999996</v>
      </c>
      <c r="Q91" s="711">
        <f t="shared" si="37"/>
        <v>2.6518252163578535</v>
      </c>
      <c r="R91" s="713">
        <f t="shared" si="38"/>
        <v>0.10189439117058943</v>
      </c>
      <c r="S91" s="713">
        <f t="shared" si="39"/>
        <v>5.3578852829018975E-2</v>
      </c>
      <c r="T91" s="711">
        <f t="shared" si="40"/>
        <v>1</v>
      </c>
      <c r="U91" s="716">
        <f t="shared" si="41"/>
        <v>11.905921875300145</v>
      </c>
      <c r="V91" s="716">
        <f t="shared" si="42"/>
        <v>39.469317500838713</v>
      </c>
      <c r="W91" s="716">
        <f t="shared" si="43"/>
        <v>70.625915722020736</v>
      </c>
      <c r="X91" s="713">
        <f t="shared" si="44"/>
        <v>1</v>
      </c>
      <c r="Y91" s="713">
        <f t="shared" si="45"/>
        <v>0</v>
      </c>
      <c r="Z91" s="710">
        <f t="shared" si="46"/>
        <v>39.469317500838713</v>
      </c>
      <c r="AA91" s="711">
        <f t="shared" si="47"/>
        <v>0.98980569601680457</v>
      </c>
      <c r="AB91" s="716">
        <f t="shared" si="48"/>
        <v>9.1661211102737372</v>
      </c>
      <c r="AC91" s="719"/>
    </row>
    <row r="92" spans="1:29" x14ac:dyDescent="0.25">
      <c r="A92" s="4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49"/>
        <v>0</v>
      </c>
      <c r="I92" s="413">
        <f t="shared" si="31"/>
        <v>4</v>
      </c>
      <c r="J92" s="737">
        <f>IF(Weather_Site!M90&lt;180,Weather_Site!M90+180,Weather_Site!M90-180)</f>
        <v>344</v>
      </c>
      <c r="K92" s="711">
        <f t="shared" si="32"/>
        <v>6.51647</v>
      </c>
      <c r="L92" s="711">
        <f t="shared" si="33"/>
        <v>8.2143000000000015</v>
      </c>
      <c r="M92" s="711">
        <f t="shared" si="34"/>
        <v>8.6006300000000007</v>
      </c>
      <c r="N92" s="711">
        <f t="shared" si="35"/>
        <v>8.2143000000000015</v>
      </c>
      <c r="O92" s="713">
        <f t="shared" si="36"/>
        <v>0.63706930060700762</v>
      </c>
      <c r="P92" s="711">
        <f>IF($O$11,Weather_Site!H90,IF(0.191*(Weather_Site!K90+104)*(Weather_Site!J90+1)^1.5/(3.52*(Weather_Site!J90+1)^1.5+Weather_Site!I90-1)&gt;10, 10,0.191*(Weather_Site!K90+104)*(Weather_Site!J90+1)^1.5/(3.52*(Weather_Site!J90+1)^1.5+Weather_Site!I90-1)))</f>
        <v>8.9000009999999996</v>
      </c>
      <c r="Q92" s="711">
        <f t="shared" si="37"/>
        <v>2.6518252163578535</v>
      </c>
      <c r="R92" s="713">
        <f t="shared" si="38"/>
        <v>0.10189439117058943</v>
      </c>
      <c r="S92" s="713">
        <f t="shared" si="39"/>
        <v>6.4913788518824261E-2</v>
      </c>
      <c r="T92" s="711">
        <f t="shared" si="40"/>
        <v>1</v>
      </c>
      <c r="U92" s="716">
        <f t="shared" si="41"/>
        <v>20.112175326980225</v>
      </c>
      <c r="V92" s="716">
        <f t="shared" si="42"/>
        <v>66.834384668334735</v>
      </c>
      <c r="W92" s="716">
        <f t="shared" si="43"/>
        <v>120.54373826615905</v>
      </c>
      <c r="X92" s="713">
        <f t="shared" si="44"/>
        <v>1</v>
      </c>
      <c r="Y92" s="713">
        <f t="shared" si="45"/>
        <v>0</v>
      </c>
      <c r="Z92" s="710">
        <f t="shared" si="46"/>
        <v>66.834384668334735</v>
      </c>
      <c r="AA92" s="711">
        <f t="shared" si="47"/>
        <v>1.448535731455826</v>
      </c>
      <c r="AB92" s="716">
        <f t="shared" si="48"/>
        <v>12.358429117665446</v>
      </c>
      <c r="AC92" s="719"/>
    </row>
    <row r="93" spans="1:29" x14ac:dyDescent="0.25">
      <c r="A93" s="4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49"/>
        <v>0</v>
      </c>
      <c r="I93" s="413">
        <f t="shared" si="31"/>
        <v>3.6</v>
      </c>
      <c r="J93" s="737">
        <f>IF(Weather_Site!M91&lt;180,Weather_Site!M91+180,Weather_Site!M91-180)</f>
        <v>345</v>
      </c>
      <c r="K93" s="711">
        <f t="shared" si="32"/>
        <v>5.9545299999999992</v>
      </c>
      <c r="L93" s="711">
        <f t="shared" si="33"/>
        <v>7.4055</v>
      </c>
      <c r="M93" s="711">
        <f t="shared" si="34"/>
        <v>7.6627699999999992</v>
      </c>
      <c r="N93" s="711">
        <f t="shared" si="35"/>
        <v>7.4055</v>
      </c>
      <c r="O93" s="713">
        <f t="shared" si="36"/>
        <v>0.72275621724915584</v>
      </c>
      <c r="P93" s="711">
        <f>IF($O$11,Weather_Site!H91,IF(0.191*(Weather_Site!K91+104)*(Weather_Site!J91+1)^1.5/(3.52*(Weather_Site!J91+1)^1.5+Weather_Site!I91-1)&gt;10, 10,0.191*(Weather_Site!K91+104)*(Weather_Site!J91+1)^1.5/(3.52*(Weather_Site!J91+1)^1.5+Weather_Site!I91-1)))</f>
        <v>8.9000009999999996</v>
      </c>
      <c r="Q93" s="711">
        <f t="shared" si="37"/>
        <v>2.6518252163578535</v>
      </c>
      <c r="R93" s="713">
        <f t="shared" si="38"/>
        <v>0.10189439117058943</v>
      </c>
      <c r="S93" s="713">
        <f t="shared" si="39"/>
        <v>7.3644804721361007E-2</v>
      </c>
      <c r="T93" s="711">
        <f t="shared" si="40"/>
        <v>1</v>
      </c>
      <c r="U93" s="716">
        <f t="shared" si="41"/>
        <v>20.258982286232481</v>
      </c>
      <c r="V93" s="716">
        <f t="shared" si="42"/>
        <v>67.373670373818712</v>
      </c>
      <c r="W93" s="716">
        <f t="shared" si="43"/>
        <v>120.62569561485543</v>
      </c>
      <c r="X93" s="713">
        <f t="shared" si="44"/>
        <v>1</v>
      </c>
      <c r="Y93" s="713">
        <f t="shared" si="45"/>
        <v>0</v>
      </c>
      <c r="Z93" s="710">
        <f t="shared" si="46"/>
        <v>67.373670373818712</v>
      </c>
      <c r="AA93" s="711">
        <f t="shared" si="47"/>
        <v>1.4569768987359264</v>
      </c>
      <c r="AB93" s="716">
        <f t="shared" si="48"/>
        <v>13.56371202565202</v>
      </c>
      <c r="AC93" s="719"/>
    </row>
    <row r="94" spans="1:29"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49"/>
        <v>0</v>
      </c>
      <c r="I94" s="27">
        <f t="shared" si="31"/>
        <v>3.4</v>
      </c>
      <c r="J94" s="738">
        <f>IF(Weather_Site!M92&lt;180,Weather_Site!M92+180,Weather_Site!M92-180)</f>
        <v>350</v>
      </c>
      <c r="K94" s="635">
        <f t="shared" si="32"/>
        <v>5.4515399999999987</v>
      </c>
      <c r="L94" s="635">
        <f t="shared" si="33"/>
        <v>6.6868000000000007</v>
      </c>
      <c r="M94" s="635">
        <f t="shared" si="34"/>
        <v>6.8282600000000002</v>
      </c>
      <c r="N94" s="635">
        <f t="shared" si="35"/>
        <v>6.6868000000000007</v>
      </c>
      <c r="O94" s="636">
        <f t="shared" si="36"/>
        <v>0.79807915915335437</v>
      </c>
      <c r="P94" s="635">
        <f>IF($O$11,Weather_Site!H92,IF(0.191*(Weather_Site!K92+104)*(Weather_Site!J92+1)^1.5/(3.52*(Weather_Site!J92+1)^1.5+Weather_Site!I92-1)&gt;10, 10,0.191*(Weather_Site!K92+104)*(Weather_Site!J92+1)^1.5/(3.52*(Weather_Site!J92+1)^1.5+Weather_Site!I92-1)))</f>
        <v>8.9000009999999996</v>
      </c>
      <c r="Q94" s="635">
        <f t="shared" si="37"/>
        <v>2.6518252163578535</v>
      </c>
      <c r="R94" s="636">
        <f t="shared" si="38"/>
        <v>0.10189439117058943</v>
      </c>
      <c r="S94" s="636">
        <f t="shared" si="39"/>
        <v>8.1319790027866989E-2</v>
      </c>
      <c r="T94" s="635">
        <f t="shared" si="40"/>
        <v>1</v>
      </c>
      <c r="U94" s="707">
        <f t="shared" si="41"/>
        <v>20.946046742297856</v>
      </c>
      <c r="V94" s="707">
        <f t="shared" si="42"/>
        <v>69.637250842290555</v>
      </c>
      <c r="W94" s="707">
        <f t="shared" si="43"/>
        <v>124.42914750351257</v>
      </c>
      <c r="X94" s="636">
        <f t="shared" si="44"/>
        <v>1</v>
      </c>
      <c r="Y94" s="636">
        <f t="shared" si="45"/>
        <v>0</v>
      </c>
      <c r="Z94" s="637">
        <f t="shared" si="46"/>
        <v>69.637250842290555</v>
      </c>
      <c r="AA94" s="635">
        <f t="shared" si="47"/>
        <v>1.492205840072321</v>
      </c>
      <c r="AB94" s="707">
        <f t="shared" si="48"/>
        <v>14.670357049441845</v>
      </c>
      <c r="AC94" s="644"/>
    </row>
    <row r="95" spans="1:29"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49"/>
        <v>0</v>
      </c>
      <c r="I95" s="27">
        <f t="shared" si="31"/>
        <v>3.6</v>
      </c>
      <c r="J95" s="738">
        <f>IF(Weather_Site!M93&lt;180,Weather_Site!M93+180,Weather_Site!M93-180)</f>
        <v>14</v>
      </c>
      <c r="K95" s="635">
        <f t="shared" si="32"/>
        <v>4.9628199999999998</v>
      </c>
      <c r="L95" s="635">
        <f t="shared" si="33"/>
        <v>5.9894999999999996</v>
      </c>
      <c r="M95" s="635">
        <f t="shared" si="34"/>
        <v>6.0183800000000005</v>
      </c>
      <c r="N95" s="635">
        <f t="shared" si="35"/>
        <v>4.9628199999999998</v>
      </c>
      <c r="O95" s="636">
        <f t="shared" si="36"/>
        <v>0.86744767425758496</v>
      </c>
      <c r="P95" s="635">
        <f>IF($O$11,Weather_Site!H93,IF(0.191*(Weather_Site!K93+104)*(Weather_Site!J93+1)^1.5/(3.52*(Weather_Site!J93+1)^1.5+Weather_Site!I93-1)&gt;10, 10,0.191*(Weather_Site!K93+104)*(Weather_Site!J93+1)^1.5/(3.52*(Weather_Site!J93+1)^1.5+Weather_Site!I93-1)))</f>
        <v>9</v>
      </c>
      <c r="Q95" s="635">
        <f t="shared" si="37"/>
        <v>2.6816207039999975</v>
      </c>
      <c r="R95" s="636">
        <f t="shared" si="38"/>
        <v>0.10446232872371478</v>
      </c>
      <c r="S95" s="636">
        <f t="shared" si="39"/>
        <v>9.0615604098917696E-2</v>
      </c>
      <c r="T95" s="635">
        <f t="shared" si="40"/>
        <v>1</v>
      </c>
      <c r="U95" s="707">
        <f t="shared" si="41"/>
        <v>24.927487081295126</v>
      </c>
      <c r="V95" s="707">
        <f t="shared" si="42"/>
        <v>82.899341839304554</v>
      </c>
      <c r="W95" s="707">
        <f t="shared" si="43"/>
        <v>148.42282927286834</v>
      </c>
      <c r="X95" s="636">
        <f t="shared" si="44"/>
        <v>1</v>
      </c>
      <c r="Y95" s="636">
        <f t="shared" si="45"/>
        <v>0</v>
      </c>
      <c r="Z95" s="637">
        <f t="shared" si="46"/>
        <v>82.899341839304554</v>
      </c>
      <c r="AA95" s="635">
        <f t="shared" si="47"/>
        <v>1.6926481018868857</v>
      </c>
      <c r="AB95" s="707">
        <f t="shared" si="48"/>
        <v>16.689350507188063</v>
      </c>
      <c r="AC95" s="644"/>
    </row>
    <row r="96" spans="1:29"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9"/>
        <v>0</v>
      </c>
      <c r="I96" s="27">
        <f t="shared" si="31"/>
        <v>3.6</v>
      </c>
      <c r="J96" s="738">
        <f>IF(Weather_Site!M94&lt;180,Weather_Site!M94+180,Weather_Site!M94-180)</f>
        <v>18</v>
      </c>
      <c r="K96" s="635">
        <f t="shared" si="32"/>
        <v>4.4722299999999997</v>
      </c>
      <c r="L96" s="635">
        <f t="shared" si="33"/>
        <v>5.287700000000001</v>
      </c>
      <c r="M96" s="635">
        <f t="shared" si="34"/>
        <v>5.2036700000000007</v>
      </c>
      <c r="N96" s="635">
        <f t="shared" si="35"/>
        <v>4.4722299999999997</v>
      </c>
      <c r="O96" s="636">
        <f t="shared" si="36"/>
        <v>0.93039194468421471</v>
      </c>
      <c r="P96" s="635">
        <f>IF($O$11,Weather_Site!H94,IF(0.191*(Weather_Site!K94+104)*(Weather_Site!J94+1)^1.5/(3.52*(Weather_Site!J94+1)^1.5+Weather_Site!I94-1)&gt;10, 10,0.191*(Weather_Site!K94+104)*(Weather_Site!J94+1)^1.5/(3.52*(Weather_Site!J94+1)^1.5+Weather_Site!I94-1)))</f>
        <v>9</v>
      </c>
      <c r="Q96" s="635">
        <f t="shared" si="37"/>
        <v>2.6816207039999975</v>
      </c>
      <c r="R96" s="636">
        <f t="shared" si="38"/>
        <v>0.10446232872371478</v>
      </c>
      <c r="S96" s="636">
        <f t="shared" si="39"/>
        <v>9.7190909167498687E-2</v>
      </c>
      <c r="T96" s="635">
        <f t="shared" si="40"/>
        <v>1</v>
      </c>
      <c r="U96" s="707">
        <f t="shared" si="41"/>
        <v>26.736290695005017</v>
      </c>
      <c r="V96" s="707">
        <f t="shared" si="42"/>
        <v>88.914734750915883</v>
      </c>
      <c r="W96" s="707">
        <f t="shared" si="43"/>
        <v>159.19277768645154</v>
      </c>
      <c r="X96" s="636">
        <f t="shared" si="44"/>
        <v>1</v>
      </c>
      <c r="Y96" s="636">
        <f t="shared" si="45"/>
        <v>0</v>
      </c>
      <c r="Z96" s="637">
        <f t="shared" si="46"/>
        <v>88.914734750915883</v>
      </c>
      <c r="AA96" s="635">
        <f t="shared" si="47"/>
        <v>1.7805831443580815</v>
      </c>
      <c r="AB96" s="707">
        <f t="shared" si="48"/>
        <v>17.900373399685112</v>
      </c>
      <c r="AC96" s="644"/>
    </row>
    <row r="97" spans="1:29"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9"/>
        <v>0</v>
      </c>
      <c r="I97" s="27">
        <f t="shared" si="31"/>
        <v>3.4</v>
      </c>
      <c r="J97" s="738">
        <f>IF(Weather_Site!M95&lt;180,Weather_Site!M95+180,Weather_Site!M95-180)</f>
        <v>20</v>
      </c>
      <c r="K97" s="635">
        <f t="shared" si="32"/>
        <v>4.1206000000000005</v>
      </c>
      <c r="L97" s="635">
        <f t="shared" si="33"/>
        <v>4.7908999999999997</v>
      </c>
      <c r="M97" s="635">
        <f t="shared" si="34"/>
        <v>4.6256000000000013</v>
      </c>
      <c r="N97" s="635">
        <f t="shared" si="35"/>
        <v>4.1206000000000005</v>
      </c>
      <c r="O97" s="636">
        <f t="shared" si="36"/>
        <v>0.96900204052764149</v>
      </c>
      <c r="P97" s="635">
        <f>IF($O$11,Weather_Site!H95,IF(0.191*(Weather_Site!K95+104)*(Weather_Site!J95+1)^1.5/(3.52*(Weather_Site!J95+1)^1.5+Weather_Site!I95-1)&gt;10, 10,0.191*(Weather_Site!K95+104)*(Weather_Site!J95+1)^1.5/(3.52*(Weather_Site!J95+1)^1.5+Weather_Site!I95-1)))</f>
        <v>9</v>
      </c>
      <c r="Q97" s="635">
        <f t="shared" si="37"/>
        <v>2.6816207039999975</v>
      </c>
      <c r="R97" s="636">
        <f t="shared" si="38"/>
        <v>0.10446232872371478</v>
      </c>
      <c r="S97" s="636">
        <f t="shared" si="39"/>
        <v>0.10122420969154887</v>
      </c>
      <c r="T97" s="635">
        <f t="shared" si="40"/>
        <v>1</v>
      </c>
      <c r="U97" s="707">
        <f t="shared" si="41"/>
        <v>26.072952560806755</v>
      </c>
      <c r="V97" s="707">
        <f t="shared" si="42"/>
        <v>86.682167762452863</v>
      </c>
      <c r="W97" s="707">
        <f t="shared" si="43"/>
        <v>154.88532513819862</v>
      </c>
      <c r="X97" s="636">
        <f t="shared" si="44"/>
        <v>1</v>
      </c>
      <c r="Y97" s="636">
        <f t="shared" si="45"/>
        <v>0</v>
      </c>
      <c r="Z97" s="637">
        <f t="shared" si="46"/>
        <v>86.682167762452863</v>
      </c>
      <c r="AA97" s="635">
        <f t="shared" si="47"/>
        <v>1.7481450507927474</v>
      </c>
      <c r="AB97" s="707">
        <f t="shared" si="48"/>
        <v>18.261179692098437</v>
      </c>
      <c r="AC97" s="644"/>
    </row>
    <row r="98" spans="1:29"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9"/>
        <v>0</v>
      </c>
      <c r="I98" s="27">
        <f t="shared" si="31"/>
        <v>3.8</v>
      </c>
      <c r="J98" s="738">
        <f>IF(Weather_Site!M96&lt;180,Weather_Site!M96+180,Weather_Site!M96-180)</f>
        <v>22</v>
      </c>
      <c r="K98" s="635">
        <f t="shared" si="32"/>
        <v>3.9624499999999996</v>
      </c>
      <c r="L98" s="635">
        <f t="shared" si="33"/>
        <v>4.5655999999999999</v>
      </c>
      <c r="M98" s="635">
        <f t="shared" si="34"/>
        <v>4.3638500000000011</v>
      </c>
      <c r="N98" s="635">
        <f t="shared" si="35"/>
        <v>3.9624499999999996</v>
      </c>
      <c r="O98" s="636">
        <f t="shared" si="36"/>
        <v>0.98441338055977967</v>
      </c>
      <c r="P98" s="635">
        <f>IF($O$11,Weather_Site!H96,IF(0.191*(Weather_Site!K96+104)*(Weather_Site!J96+1)^1.5/(3.52*(Weather_Site!J96+1)^1.5+Weather_Site!I96-1)&gt;10, 10,0.191*(Weather_Site!K96+104)*(Weather_Site!J96+1)^1.5/(3.52*(Weather_Site!J96+1)^1.5+Weather_Site!I96-1)))</f>
        <v>9</v>
      </c>
      <c r="Q98" s="635">
        <f t="shared" si="37"/>
        <v>2.6816207039999975</v>
      </c>
      <c r="R98" s="636">
        <f t="shared" si="38"/>
        <v>0.10446232872371478</v>
      </c>
      <c r="S98" s="636">
        <f t="shared" si="39"/>
        <v>0.10283411416005904</v>
      </c>
      <c r="T98" s="635">
        <f t="shared" si="40"/>
        <v>1</v>
      </c>
      <c r="U98" s="707">
        <f t="shared" si="41"/>
        <v>30.079544360219028</v>
      </c>
      <c r="V98" s="707">
        <f t="shared" si="42"/>
        <v>100.0137876826939</v>
      </c>
      <c r="W98" s="707">
        <f t="shared" si="43"/>
        <v>179.6418368272027</v>
      </c>
      <c r="X98" s="636">
        <f t="shared" si="44"/>
        <v>1</v>
      </c>
      <c r="Y98" s="636">
        <f t="shared" si="45"/>
        <v>0</v>
      </c>
      <c r="Z98" s="637">
        <f t="shared" si="46"/>
        <v>100.0137876826939</v>
      </c>
      <c r="AA98" s="635">
        <f t="shared" si="47"/>
        <v>1.9386416345885755</v>
      </c>
      <c r="AB98" s="707">
        <f t="shared" si="48"/>
        <v>19.279394649297149</v>
      </c>
      <c r="AC98" s="644"/>
    </row>
    <row r="99" spans="1:29" x14ac:dyDescent="0.25">
      <c r="A99" s="4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9"/>
        <v>0</v>
      </c>
      <c r="I99" s="413">
        <f t="shared" si="31"/>
        <v>3.8</v>
      </c>
      <c r="J99" s="737">
        <f>IF(Weather_Site!M97&lt;180,Weather_Site!M97+180,Weather_Site!M97-180)</f>
        <v>23</v>
      </c>
      <c r="K99" s="711">
        <f t="shared" si="32"/>
        <v>3.8099099999999999</v>
      </c>
      <c r="L99" s="711">
        <f t="shared" si="33"/>
        <v>4.3537999999999997</v>
      </c>
      <c r="M99" s="711">
        <f t="shared" si="34"/>
        <v>4.1165900000000004</v>
      </c>
      <c r="N99" s="711">
        <f t="shared" si="35"/>
        <v>3.8099099999999999</v>
      </c>
      <c r="O99" s="713">
        <f t="shared" si="36"/>
        <v>0.9976189967782052</v>
      </c>
      <c r="P99" s="711">
        <f>IF($O$11,Weather_Site!H97,IF(0.191*(Weather_Site!K97+104)*(Weather_Site!J97+1)^1.5/(3.52*(Weather_Site!J97+1)^1.5+Weather_Site!I97-1)&gt;10, 10,0.191*(Weather_Site!K97+104)*(Weather_Site!J97+1)^1.5/(3.52*(Weather_Site!J97+1)^1.5+Weather_Site!I97-1)))</f>
        <v>9</v>
      </c>
      <c r="Q99" s="711">
        <f t="shared" si="37"/>
        <v>2.6816207039999975</v>
      </c>
      <c r="R99" s="713">
        <f t="shared" si="38"/>
        <v>0.10446232872371478</v>
      </c>
      <c r="S99" s="713">
        <f t="shared" si="39"/>
        <v>0.10421360358246742</v>
      </c>
      <c r="T99" s="711">
        <f t="shared" si="40"/>
        <v>1</v>
      </c>
      <c r="U99" s="716">
        <f t="shared" si="41"/>
        <v>30.483052608573274</v>
      </c>
      <c r="V99" s="716">
        <f t="shared" si="42"/>
        <v>101.35544325419549</v>
      </c>
      <c r="W99" s="716">
        <f t="shared" si="43"/>
        <v>182.05167927831206</v>
      </c>
      <c r="X99" s="713">
        <f t="shared" si="44"/>
        <v>1</v>
      </c>
      <c r="Y99" s="713">
        <f t="shared" si="45"/>
        <v>0</v>
      </c>
      <c r="Z99" s="710">
        <f t="shared" si="46"/>
        <v>101.35544325419549</v>
      </c>
      <c r="AA99" s="711">
        <f t="shared" si="47"/>
        <v>1.9574094591535456</v>
      </c>
      <c r="AB99" s="716">
        <f t="shared" si="48"/>
        <v>19.538022063034056</v>
      </c>
      <c r="AC99" s="719"/>
    </row>
    <row r="100" spans="1:29" x14ac:dyDescent="0.25">
      <c r="A100" s="4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9"/>
        <v>0</v>
      </c>
      <c r="I100" s="413">
        <f t="shared" si="31"/>
        <v>4.2</v>
      </c>
      <c r="J100" s="737">
        <f>IF(Weather_Site!M98&lt;180,Weather_Site!M98+180,Weather_Site!M98-180)</f>
        <v>24</v>
      </c>
      <c r="K100" s="711">
        <f t="shared" si="32"/>
        <v>3.8973999999999998</v>
      </c>
      <c r="L100" s="711">
        <f t="shared" si="33"/>
        <v>4.4866999999999999</v>
      </c>
      <c r="M100" s="711">
        <f t="shared" si="34"/>
        <v>4.2692000000000005</v>
      </c>
      <c r="N100" s="711">
        <f t="shared" si="35"/>
        <v>4.4866999999999999</v>
      </c>
      <c r="O100" s="713">
        <f t="shared" si="36"/>
        <v>0.98963010220671999</v>
      </c>
      <c r="P100" s="711">
        <f>IF($O$11,Weather_Site!H98,IF(0.191*(Weather_Site!K98+104)*(Weather_Site!J98+1)^1.5/(3.52*(Weather_Site!J98+1)^1.5+Weather_Site!I98-1)&gt;10, 10,0.191*(Weather_Site!K98+104)*(Weather_Site!J98+1)^1.5/(3.52*(Weather_Site!J98+1)^1.5+Weather_Site!I98-1)))</f>
        <v>9</v>
      </c>
      <c r="Q100" s="711">
        <f t="shared" si="37"/>
        <v>2.6816207039999975</v>
      </c>
      <c r="R100" s="713">
        <f t="shared" si="38"/>
        <v>0.10446232872371478</v>
      </c>
      <c r="S100" s="713">
        <f t="shared" si="39"/>
        <v>0.10337906505160184</v>
      </c>
      <c r="T100" s="711">
        <f t="shared" si="40"/>
        <v>1</v>
      </c>
      <c r="U100" s="716">
        <f t="shared" si="41"/>
        <v>33.811936073254465</v>
      </c>
      <c r="V100" s="716">
        <f t="shared" si="42"/>
        <v>112.263514637149</v>
      </c>
      <c r="W100" s="716">
        <f t="shared" si="43"/>
        <v>203.46170876670524</v>
      </c>
      <c r="X100" s="713">
        <f t="shared" si="44"/>
        <v>1</v>
      </c>
      <c r="Y100" s="713">
        <f t="shared" si="45"/>
        <v>0</v>
      </c>
      <c r="Z100" s="710">
        <f t="shared" si="46"/>
        <v>112.263514637149</v>
      </c>
      <c r="AA100" s="711">
        <f t="shared" si="47"/>
        <v>2.1075446226753622</v>
      </c>
      <c r="AB100" s="716">
        <f t="shared" si="48"/>
        <v>19.945901968081337</v>
      </c>
      <c r="AC100" s="719"/>
    </row>
    <row r="101" spans="1:29" x14ac:dyDescent="0.25">
      <c r="A101" s="4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9"/>
        <v>0</v>
      </c>
      <c r="I101" s="413">
        <f t="shared" si="31"/>
        <v>3.8</v>
      </c>
      <c r="J101" s="737">
        <f>IF(Weather_Site!M99&lt;180,Weather_Site!M99+180,Weather_Site!M99-180)</f>
        <v>24</v>
      </c>
      <c r="K101" s="711">
        <f t="shared" si="32"/>
        <v>3.9334199999999999</v>
      </c>
      <c r="L101" s="711">
        <f t="shared" si="33"/>
        <v>4.5475000000000003</v>
      </c>
      <c r="M101" s="711">
        <f t="shared" si="34"/>
        <v>4.3377800000000004</v>
      </c>
      <c r="N101" s="711">
        <f t="shared" si="35"/>
        <v>4.5475000000000003</v>
      </c>
      <c r="O101" s="713">
        <f t="shared" si="36"/>
        <v>0.98586976507674329</v>
      </c>
      <c r="P101" s="711">
        <f>IF($O$11,Weather_Site!H99,IF(0.191*(Weather_Site!K99+104)*(Weather_Site!J99+1)^1.5/(3.52*(Weather_Site!J99+1)^1.5+Weather_Site!I99-1)&gt;10, 10,0.191*(Weather_Site!K99+104)*(Weather_Site!J99+1)^1.5/(3.52*(Weather_Site!J99+1)^1.5+Weather_Site!I99-1)))</f>
        <v>9</v>
      </c>
      <c r="Q101" s="711">
        <f t="shared" si="37"/>
        <v>2.6816207039999975</v>
      </c>
      <c r="R101" s="713">
        <f t="shared" si="38"/>
        <v>0.10446232872371478</v>
      </c>
      <c r="S101" s="713">
        <f t="shared" si="39"/>
        <v>0.10298625147821822</v>
      </c>
      <c r="T101" s="711">
        <f t="shared" si="40"/>
        <v>1</v>
      </c>
      <c r="U101" s="716">
        <f t="shared" si="41"/>
        <v>30.124045363099171</v>
      </c>
      <c r="V101" s="716">
        <f t="shared" si="42"/>
        <v>100.16175248563179</v>
      </c>
      <c r="W101" s="716">
        <f t="shared" si="43"/>
        <v>179.90760687352739</v>
      </c>
      <c r="X101" s="713">
        <f t="shared" si="44"/>
        <v>1</v>
      </c>
      <c r="Y101" s="713">
        <f t="shared" si="45"/>
        <v>0</v>
      </c>
      <c r="Z101" s="710">
        <f t="shared" si="46"/>
        <v>100.16175248563179</v>
      </c>
      <c r="AA101" s="711">
        <f t="shared" si="47"/>
        <v>1.940714854811616</v>
      </c>
      <c r="AB101" s="716">
        <f t="shared" si="48"/>
        <v>19.307917434966416</v>
      </c>
      <c r="AC101" s="719"/>
    </row>
    <row r="102" spans="1:29" x14ac:dyDescent="0.25">
      <c r="A102" s="4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9"/>
        <v>0</v>
      </c>
      <c r="I102" s="413">
        <f t="shared" si="31"/>
        <v>3.4</v>
      </c>
      <c r="J102" s="737">
        <f>IF(Weather_Site!M100&lt;180,Weather_Site!M100+180,Weather_Site!M100-180)</f>
        <v>24</v>
      </c>
      <c r="K102" s="711">
        <f t="shared" si="32"/>
        <v>4.1474700000000002</v>
      </c>
      <c r="L102" s="711">
        <f t="shared" si="33"/>
        <v>4.8685000000000009</v>
      </c>
      <c r="M102" s="711">
        <f t="shared" si="34"/>
        <v>4.70723</v>
      </c>
      <c r="N102" s="711">
        <f t="shared" si="35"/>
        <v>4.70723</v>
      </c>
      <c r="O102" s="713">
        <f t="shared" si="36"/>
        <v>0.96391503864379569</v>
      </c>
      <c r="P102" s="711">
        <f>IF($O$11,Weather_Site!H100,IF(0.191*(Weather_Site!K100+104)*(Weather_Site!J100+1)^1.5/(3.52*(Weather_Site!J100+1)^1.5+Weather_Site!I100-1)&gt;10, 10,0.191*(Weather_Site!K100+104)*(Weather_Site!J100+1)^1.5/(3.52*(Weather_Site!J100+1)^1.5+Weather_Site!I100-1)))</f>
        <v>9</v>
      </c>
      <c r="Q102" s="711">
        <f t="shared" si="37"/>
        <v>2.6816207039999975</v>
      </c>
      <c r="R102" s="713">
        <f t="shared" si="38"/>
        <v>0.10446232872371478</v>
      </c>
      <c r="S102" s="713">
        <f t="shared" si="39"/>
        <v>0.10069280962854042</v>
      </c>
      <c r="T102" s="711">
        <f t="shared" si="40"/>
        <v>1</v>
      </c>
      <c r="U102" s="716">
        <f t="shared" si="41"/>
        <v>25.936076524176304</v>
      </c>
      <c r="V102" s="716">
        <f t="shared" si="42"/>
        <v>86.227109535265527</v>
      </c>
      <c r="W102" s="716">
        <f t="shared" si="43"/>
        <v>154.07221855244876</v>
      </c>
      <c r="X102" s="713">
        <f t="shared" si="44"/>
        <v>1</v>
      </c>
      <c r="Y102" s="713">
        <f t="shared" si="45"/>
        <v>0</v>
      </c>
      <c r="Z102" s="710">
        <f t="shared" si="46"/>
        <v>86.227109535265527</v>
      </c>
      <c r="AA102" s="711">
        <f t="shared" si="47"/>
        <v>1.7415050316416132</v>
      </c>
      <c r="AB102" s="716">
        <f t="shared" si="48"/>
        <v>18.165313376435815</v>
      </c>
      <c r="AC102" s="719"/>
    </row>
    <row r="103" spans="1:29" x14ac:dyDescent="0.25">
      <c r="A103" s="4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9"/>
        <v>0</v>
      </c>
      <c r="I103" s="413">
        <f t="shared" si="31"/>
        <v>3</v>
      </c>
      <c r="J103" s="737">
        <f>IF(Weather_Site!M101&lt;180,Weather_Site!M101+180,Weather_Site!M101-180)</f>
        <v>18</v>
      </c>
      <c r="K103" s="711">
        <f t="shared" si="32"/>
        <v>4.6071600000000004</v>
      </c>
      <c r="L103" s="711">
        <f t="shared" si="33"/>
        <v>5.5477000000000007</v>
      </c>
      <c r="M103" s="711">
        <f t="shared" si="34"/>
        <v>5.4910400000000008</v>
      </c>
      <c r="N103" s="711">
        <f t="shared" si="35"/>
        <v>5.4910400000000008</v>
      </c>
      <c r="O103" s="713">
        <f t="shared" si="36"/>
        <v>0.9091828324730129</v>
      </c>
      <c r="P103" s="711">
        <f>IF($O$11,Weather_Site!H101,IF(0.191*(Weather_Site!K101+104)*(Weather_Site!J101+1)^1.5/(3.52*(Weather_Site!J101+1)^1.5+Weather_Site!I101-1)&gt;10, 10,0.191*(Weather_Site!K101+104)*(Weather_Site!J101+1)^1.5/(3.52*(Weather_Site!J101+1)^1.5+Weather_Site!I101-1)))</f>
        <v>9</v>
      </c>
      <c r="Q103" s="711">
        <f t="shared" si="37"/>
        <v>2.6816207039999975</v>
      </c>
      <c r="R103" s="713">
        <f t="shared" si="38"/>
        <v>0.10446232872371478</v>
      </c>
      <c r="S103" s="713">
        <f t="shared" si="39"/>
        <v>9.497535591575397E-2</v>
      </c>
      <c r="T103" s="711">
        <f t="shared" si="40"/>
        <v>1</v>
      </c>
      <c r="U103" s="716">
        <f t="shared" si="41"/>
        <v>21.104766300620636</v>
      </c>
      <c r="V103" s="716">
        <f t="shared" si="42"/>
        <v>69.9644034812884</v>
      </c>
      <c r="W103" s="716">
        <f t="shared" si="43"/>
        <v>125.19345093073694</v>
      </c>
      <c r="X103" s="713">
        <f t="shared" si="44"/>
        <v>1</v>
      </c>
      <c r="Y103" s="713">
        <f t="shared" si="45"/>
        <v>0</v>
      </c>
      <c r="Z103" s="710">
        <f t="shared" si="46"/>
        <v>69.9644034812884</v>
      </c>
      <c r="AA103" s="711">
        <f t="shared" si="47"/>
        <v>1.4972710066671016</v>
      </c>
      <c r="AB103" s="716">
        <f t="shared" si="48"/>
        <v>16.248119712328936</v>
      </c>
      <c r="AC103" s="719"/>
    </row>
    <row r="104" spans="1:29"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9"/>
        <v>0</v>
      </c>
      <c r="I104" s="27">
        <f t="shared" si="31"/>
        <v>2.8</v>
      </c>
      <c r="J104" s="738">
        <f>IF(Weather_Site!M102&lt;180,Weather_Site!M102+180,Weather_Site!M102-180)</f>
        <v>11</v>
      </c>
      <c r="K104" s="635">
        <f t="shared" si="32"/>
        <v>5.172839999999999</v>
      </c>
      <c r="L104" s="635">
        <f t="shared" si="33"/>
        <v>6.3655000000000008</v>
      </c>
      <c r="M104" s="635">
        <f t="shared" si="34"/>
        <v>6.4385600000000007</v>
      </c>
      <c r="N104" s="635">
        <f t="shared" si="35"/>
        <v>6.4385600000000007</v>
      </c>
      <c r="O104" s="636">
        <f t="shared" si="36"/>
        <v>0.83210100870773951</v>
      </c>
      <c r="P104" s="635">
        <f>IF($O$11,Weather_Site!H102,IF(0.191*(Weather_Site!K102+104)*(Weather_Site!J102+1)^1.5/(3.52*(Weather_Site!J102+1)^1.5+Weather_Site!I102-1)&gt;10, 10,0.191*(Weather_Site!K102+104)*(Weather_Site!J102+1)^1.5/(3.52*(Weather_Site!J102+1)^1.5+Weather_Site!I102-1)))</f>
        <v>9</v>
      </c>
      <c r="Q104" s="635">
        <f t="shared" si="37"/>
        <v>2.6816207039999975</v>
      </c>
      <c r="R104" s="636">
        <f t="shared" si="38"/>
        <v>0.10446232872371478</v>
      </c>
      <c r="S104" s="636">
        <f t="shared" si="39"/>
        <v>8.6923209102962543E-2</v>
      </c>
      <c r="T104" s="635">
        <f t="shared" si="40"/>
        <v>1</v>
      </c>
      <c r="U104" s="707">
        <f t="shared" si="41"/>
        <v>17.761945996755134</v>
      </c>
      <c r="V104" s="707">
        <f t="shared" si="42"/>
        <v>58.697614971637542</v>
      </c>
      <c r="W104" s="707">
        <f t="shared" si="43"/>
        <v>105.53872517718423</v>
      </c>
      <c r="X104" s="636">
        <f t="shared" si="44"/>
        <v>1</v>
      </c>
      <c r="Y104" s="636">
        <f t="shared" si="45"/>
        <v>0</v>
      </c>
      <c r="Z104" s="637">
        <f t="shared" si="46"/>
        <v>58.697614971637542</v>
      </c>
      <c r="AA104" s="635">
        <f t="shared" si="47"/>
        <v>1.3187632462737442</v>
      </c>
      <c r="AB104" s="707">
        <f t="shared" si="48"/>
        <v>14.366950991687277</v>
      </c>
      <c r="AC104" s="644"/>
    </row>
    <row r="105" spans="1:29"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9"/>
        <v>0</v>
      </c>
      <c r="I105" s="27">
        <f t="shared" si="31"/>
        <v>2.4</v>
      </c>
      <c r="J105" s="738">
        <f>IF(Weather_Site!M103&lt;180,Weather_Site!M103+180,Weather_Site!M103-180)</f>
        <v>5</v>
      </c>
      <c r="K105" s="635">
        <f t="shared" si="32"/>
        <v>5.6175699999999997</v>
      </c>
      <c r="L105" s="635">
        <f t="shared" si="33"/>
        <v>7.008700000000001</v>
      </c>
      <c r="M105" s="635">
        <f t="shared" si="34"/>
        <v>7.1837300000000006</v>
      </c>
      <c r="N105" s="635">
        <f t="shared" si="35"/>
        <v>7.1837300000000006</v>
      </c>
      <c r="O105" s="636">
        <f t="shared" si="36"/>
        <v>0.76629432644384865</v>
      </c>
      <c r="P105" s="635">
        <f>IF($O$11,Weather_Site!H103,IF(0.191*(Weather_Site!K103+104)*(Weather_Site!J103+1)^1.5/(3.52*(Weather_Site!J103+1)^1.5+Weather_Site!I103-1)&gt;10, 10,0.191*(Weather_Site!K103+104)*(Weather_Site!J103+1)^1.5/(3.52*(Weather_Site!J103+1)^1.5+Weather_Site!I103-1)))</f>
        <v>9</v>
      </c>
      <c r="Q105" s="635">
        <f t="shared" si="37"/>
        <v>2.6816207039999975</v>
      </c>
      <c r="R105" s="636">
        <f t="shared" si="38"/>
        <v>0.10446232872371478</v>
      </c>
      <c r="S105" s="636">
        <f t="shared" si="39"/>
        <v>8.0048889828094924E-2</v>
      </c>
      <c r="T105" s="635">
        <f t="shared" si="40"/>
        <v>1</v>
      </c>
      <c r="U105" s="707">
        <f t="shared" si="41"/>
        <v>13.45893395377454</v>
      </c>
      <c r="V105" s="707">
        <f t="shared" si="42"/>
        <v>43.925884957526925</v>
      </c>
      <c r="W105" s="707">
        <f t="shared" si="43"/>
        <v>80.887056946080861</v>
      </c>
      <c r="X105" s="636">
        <f t="shared" si="44"/>
        <v>1</v>
      </c>
      <c r="Y105" s="636">
        <f t="shared" si="45"/>
        <v>0</v>
      </c>
      <c r="Z105" s="637">
        <f t="shared" si="46"/>
        <v>43.925884957526925</v>
      </c>
      <c r="AA105" s="635">
        <f t="shared" si="47"/>
        <v>1.0694024670813302</v>
      </c>
      <c r="AB105" s="707">
        <f t="shared" si="48"/>
        <v>12.051658515563796</v>
      </c>
      <c r="AC105" s="644"/>
    </row>
    <row r="106" spans="1:29"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49"/>
        <v>0</v>
      </c>
      <c r="I106" s="27">
        <f t="shared" si="31"/>
        <v>2.4</v>
      </c>
      <c r="J106" s="738">
        <f>IF(Weather_Site!M104&lt;180,Weather_Site!M104+180,Weather_Site!M104-180)</f>
        <v>355</v>
      </c>
      <c r="K106" s="635">
        <f t="shared" si="32"/>
        <v>5.6945300000000003</v>
      </c>
      <c r="L106" s="635">
        <f t="shared" si="33"/>
        <v>7.1292000000000009</v>
      </c>
      <c r="M106" s="635">
        <f t="shared" si="34"/>
        <v>7.3213699999999999</v>
      </c>
      <c r="N106" s="635">
        <f t="shared" si="35"/>
        <v>7.3213699999999999</v>
      </c>
      <c r="O106" s="636">
        <f t="shared" si="36"/>
        <v>0.75384787524107388</v>
      </c>
      <c r="P106" s="635">
        <f>IF($O$11,Weather_Site!H104,IF(0.191*(Weather_Site!K104+104)*(Weather_Site!J104+1)^1.5/(3.52*(Weather_Site!J104+1)^1.5+Weather_Site!I104-1)&gt;10, 10,0.191*(Weather_Site!K104+104)*(Weather_Site!J104+1)^1.5/(3.52*(Weather_Site!J104+1)^1.5+Weather_Site!I104-1)))</f>
        <v>9</v>
      </c>
      <c r="Q106" s="635">
        <f t="shared" si="37"/>
        <v>2.6816207039999975</v>
      </c>
      <c r="R106" s="636">
        <f t="shared" si="38"/>
        <v>0.10446232872371478</v>
      </c>
      <c r="S106" s="636">
        <f t="shared" si="39"/>
        <v>7.8748704551106982E-2</v>
      </c>
      <c r="T106" s="635">
        <f t="shared" si="40"/>
        <v>1</v>
      </c>
      <c r="U106" s="707">
        <f t="shared" si="41"/>
        <v>13.240328701306579</v>
      </c>
      <c r="V106" s="707">
        <f t="shared" si="42"/>
        <v>43.212423608805032</v>
      </c>
      <c r="W106" s="707">
        <f t="shared" si="43"/>
        <v>79.57325783198911</v>
      </c>
      <c r="X106" s="636">
        <f t="shared" si="44"/>
        <v>1</v>
      </c>
      <c r="Y106" s="636">
        <f t="shared" si="45"/>
        <v>0</v>
      </c>
      <c r="Z106" s="637">
        <f t="shared" si="46"/>
        <v>43.212423608805032</v>
      </c>
      <c r="AA106" s="635">
        <f t="shared" si="47"/>
        <v>1.0568157609939042</v>
      </c>
      <c r="AB106" s="707">
        <f t="shared" si="48"/>
        <v>11.855910779413145</v>
      </c>
      <c r="AC106" s="644"/>
    </row>
    <row r="107" spans="1:29"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49"/>
        <v>0</v>
      </c>
      <c r="I107" s="27">
        <f t="shared" si="31"/>
        <v>2.8</v>
      </c>
      <c r="J107" s="738">
        <f>IF(Weather_Site!M105&lt;180,Weather_Site!M105+180,Weather_Site!M105-180)</f>
        <v>357</v>
      </c>
      <c r="K107" s="635">
        <f t="shared" si="32"/>
        <v>5.8266999999999998</v>
      </c>
      <c r="L107" s="635">
        <f t="shared" si="33"/>
        <v>7.3308</v>
      </c>
      <c r="M107" s="635">
        <f t="shared" si="34"/>
        <v>7.5527000000000006</v>
      </c>
      <c r="N107" s="635">
        <f t="shared" si="35"/>
        <v>7.5527000000000006</v>
      </c>
      <c r="O107" s="636">
        <f t="shared" si="36"/>
        <v>0.73280688314218367</v>
      </c>
      <c r="P107" s="635">
        <f>IF($O$11,Weather_Site!H105,IF(0.191*(Weather_Site!K105+104)*(Weather_Site!J105+1)^1.5/(3.52*(Weather_Site!J105+1)^1.5+Weather_Site!I105-1)&gt;10, 10,0.191*(Weather_Site!K105+104)*(Weather_Site!J105+1)^1.5/(3.52*(Weather_Site!J105+1)^1.5+Weather_Site!I105-1)))</f>
        <v>9</v>
      </c>
      <c r="Q107" s="635">
        <f t="shared" si="37"/>
        <v>2.6816207039999975</v>
      </c>
      <c r="R107" s="636">
        <f t="shared" si="38"/>
        <v>0.10446232872371478</v>
      </c>
      <c r="S107" s="636">
        <f t="shared" si="39"/>
        <v>7.6550713517799629E-2</v>
      </c>
      <c r="T107" s="635">
        <f t="shared" si="40"/>
        <v>1</v>
      </c>
      <c r="U107" s="707">
        <f t="shared" si="41"/>
        <v>15.64242339356853</v>
      </c>
      <c r="V107" s="707">
        <f t="shared" si="42"/>
        <v>51.693262987442886</v>
      </c>
      <c r="W107" s="707">
        <f t="shared" si="43"/>
        <v>92.944850971880015</v>
      </c>
      <c r="X107" s="636">
        <f t="shared" si="44"/>
        <v>1</v>
      </c>
      <c r="Y107" s="636">
        <f t="shared" si="45"/>
        <v>0</v>
      </c>
      <c r="Z107" s="637">
        <f t="shared" si="46"/>
        <v>51.693262987442886</v>
      </c>
      <c r="AA107" s="635">
        <f t="shared" si="47"/>
        <v>1.2030037724984373</v>
      </c>
      <c r="AB107" s="707">
        <f t="shared" si="48"/>
        <v>12.652551152203564</v>
      </c>
      <c r="AC107" s="644"/>
    </row>
    <row r="108" spans="1:29"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49"/>
        <v>0</v>
      </c>
      <c r="I108" s="27">
        <f t="shared" si="31"/>
        <v>2.8</v>
      </c>
      <c r="J108" s="738">
        <f>IF(Weather_Site!M106&lt;180,Weather_Site!M106+180,Weather_Site!M106-180)</f>
        <v>0</v>
      </c>
      <c r="K108" s="635">
        <f t="shared" si="32"/>
        <v>6.08474</v>
      </c>
      <c r="L108" s="635">
        <f t="shared" si="33"/>
        <v>7.7059000000000015</v>
      </c>
      <c r="M108" s="635">
        <f t="shared" si="34"/>
        <v>7.9868600000000001</v>
      </c>
      <c r="N108" s="635">
        <f t="shared" si="35"/>
        <v>7.9868600000000001</v>
      </c>
      <c r="O108" s="636">
        <f t="shared" si="36"/>
        <v>0.69309116377937263</v>
      </c>
      <c r="P108" s="635">
        <f>IF($O$11,Weather_Site!H106,IF(0.191*(Weather_Site!K106+104)*(Weather_Site!J106+1)^1.5/(3.52*(Weather_Site!J106+1)^1.5+Weather_Site!I106-1)&gt;10, 10,0.191*(Weather_Site!K106+104)*(Weather_Site!J106+1)^1.5/(3.52*(Weather_Site!J106+1)^1.5+Weather_Site!I106-1)))</f>
        <v>9</v>
      </c>
      <c r="Q108" s="635">
        <f t="shared" si="37"/>
        <v>2.6816207039999975</v>
      </c>
      <c r="R108" s="636">
        <f t="shared" si="38"/>
        <v>0.10446232872371478</v>
      </c>
      <c r="S108" s="636">
        <f t="shared" si="39"/>
        <v>7.2401916986222864E-2</v>
      </c>
      <c r="T108" s="635">
        <f t="shared" si="40"/>
        <v>1</v>
      </c>
      <c r="U108" s="707">
        <f t="shared" si="41"/>
        <v>14.794655568313676</v>
      </c>
      <c r="V108" s="707">
        <f t="shared" si="42"/>
        <v>48.891658399677404</v>
      </c>
      <c r="W108" s="707">
        <f t="shared" si="43"/>
        <v>87.907546188948189</v>
      </c>
      <c r="X108" s="636">
        <f t="shared" si="44"/>
        <v>1</v>
      </c>
      <c r="Y108" s="636">
        <f t="shared" si="45"/>
        <v>0</v>
      </c>
      <c r="Z108" s="637">
        <f t="shared" si="46"/>
        <v>48.891658399677404</v>
      </c>
      <c r="AA108" s="635">
        <f t="shared" si="47"/>
        <v>1.1555027506338391</v>
      </c>
      <c r="AB108" s="707">
        <f t="shared" si="48"/>
        <v>11.966824554454034</v>
      </c>
      <c r="AC108" s="644"/>
    </row>
    <row r="109" spans="1:29"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49"/>
        <v>0</v>
      </c>
      <c r="I109" s="27">
        <f t="shared" si="31"/>
        <v>2.8</v>
      </c>
      <c r="J109" s="738">
        <f>IF(Weather_Site!M107&lt;180,Weather_Site!M107+180,Weather_Site!M107-180)</f>
        <v>353</v>
      </c>
      <c r="K109" s="635">
        <f t="shared" si="32"/>
        <v>6.8673200000000003</v>
      </c>
      <c r="L109" s="635">
        <f t="shared" si="33"/>
        <v>8.7998000000000012</v>
      </c>
      <c r="M109" s="635">
        <f t="shared" si="34"/>
        <v>9.2622800000000023</v>
      </c>
      <c r="N109" s="635">
        <f t="shared" si="35"/>
        <v>9.2622800000000023</v>
      </c>
      <c r="O109" s="636">
        <f t="shared" si="36"/>
        <v>0.5778425425953605</v>
      </c>
      <c r="P109" s="635">
        <f>IF($O$11,Weather_Site!H107,IF(0.191*(Weather_Site!K107+104)*(Weather_Site!J107+1)^1.5/(3.52*(Weather_Site!J107+1)^1.5+Weather_Site!I107-1)&gt;10, 10,0.191*(Weather_Site!K107+104)*(Weather_Site!J107+1)^1.5/(3.52*(Weather_Site!J107+1)^1.5+Weather_Site!I107-1)))</f>
        <v>9</v>
      </c>
      <c r="Q109" s="635">
        <f t="shared" si="37"/>
        <v>2.6816207039999975</v>
      </c>
      <c r="R109" s="636">
        <f t="shared" si="38"/>
        <v>0.10446232872371478</v>
      </c>
      <c r="S109" s="636">
        <f t="shared" si="39"/>
        <v>6.0362777635143708E-2</v>
      </c>
      <c r="T109" s="635">
        <f t="shared" si="40"/>
        <v>1</v>
      </c>
      <c r="U109" s="707">
        <f t="shared" si="41"/>
        <v>12.334569876493658</v>
      </c>
      <c r="V109" s="707">
        <f t="shared" si="42"/>
        <v>40.761853097822183</v>
      </c>
      <c r="W109" s="707">
        <f t="shared" si="43"/>
        <v>73.290098990947058</v>
      </c>
      <c r="X109" s="636">
        <f t="shared" si="44"/>
        <v>1</v>
      </c>
      <c r="Y109" s="636">
        <f t="shared" si="45"/>
        <v>0</v>
      </c>
      <c r="Z109" s="637">
        <f t="shared" si="46"/>
        <v>40.761853097822183</v>
      </c>
      <c r="AA109" s="635">
        <f t="shared" si="47"/>
        <v>1.0131361915706358</v>
      </c>
      <c r="AB109" s="707">
        <f t="shared" si="48"/>
        <v>9.976956407338502</v>
      </c>
      <c r="AC109" s="721"/>
    </row>
    <row r="110" spans="1:29"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49"/>
        <v>0</v>
      </c>
      <c r="I110" s="27">
        <f t="shared" si="31"/>
        <v>2.8</v>
      </c>
      <c r="J110" s="738">
        <f>IF(Weather_Site!M108&lt;180,Weather_Site!M108+180,Weather_Site!M108-180)</f>
        <v>351</v>
      </c>
      <c r="K110" s="635">
        <f t="shared" si="32"/>
        <v>7.8054899999999989</v>
      </c>
      <c r="L110" s="635">
        <f t="shared" si="33"/>
        <v>10.099900000000002</v>
      </c>
      <c r="M110" s="635">
        <f t="shared" si="34"/>
        <v>10.780610000000001</v>
      </c>
      <c r="N110" s="635">
        <f t="shared" si="35"/>
        <v>10.780610000000001</v>
      </c>
      <c r="O110" s="636">
        <f t="shared" si="36"/>
        <v>0.45189328464278344</v>
      </c>
      <c r="P110" s="635">
        <f>IF($O$11,Weather_Site!H108,IF(0.191*(Weather_Site!K108+104)*(Weather_Site!J108+1)^1.5/(3.52*(Weather_Site!J108+1)^1.5+Weather_Site!I108-1)&gt;10, 10,0.191*(Weather_Site!K108+104)*(Weather_Site!J108+1)^1.5/(3.52*(Weather_Site!J108+1)^1.5+Weather_Site!I108-1)))</f>
        <v>9</v>
      </c>
      <c r="Q110" s="635">
        <f t="shared" si="37"/>
        <v>2.6816207039999975</v>
      </c>
      <c r="R110" s="636">
        <f t="shared" si="38"/>
        <v>0.10446232872371478</v>
      </c>
      <c r="S110" s="636">
        <f t="shared" si="39"/>
        <v>4.7205824848393654E-2</v>
      </c>
      <c r="T110" s="635">
        <f t="shared" si="40"/>
        <v>1</v>
      </c>
      <c r="U110" s="707">
        <f t="shared" si="41"/>
        <v>9.6460694484515166</v>
      </c>
      <c r="V110" s="707">
        <f t="shared" si="42"/>
        <v>31.877209320325626</v>
      </c>
      <c r="W110" s="707">
        <f t="shared" si="43"/>
        <v>57.315446896761124</v>
      </c>
      <c r="X110" s="636">
        <f t="shared" si="44"/>
        <v>1</v>
      </c>
      <c r="Y110" s="636">
        <f t="shared" si="45"/>
        <v>0</v>
      </c>
      <c r="Z110" s="637">
        <f t="shared" si="46"/>
        <v>31.877209320325626</v>
      </c>
      <c r="AA110" s="635">
        <f t="shared" si="47"/>
        <v>0.84814576632641359</v>
      </c>
      <c r="AB110" s="707">
        <f t="shared" si="48"/>
        <v>7.8023324163710654</v>
      </c>
      <c r="AC110" s="721"/>
    </row>
    <row r="111" spans="1:29"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49"/>
        <v>0</v>
      </c>
      <c r="I111" s="27">
        <f t="shared" si="31"/>
        <v>3.2</v>
      </c>
      <c r="J111" s="738">
        <f>IF(Weather_Site!M109&lt;180,Weather_Site!M109+180,Weather_Site!M109-180)</f>
        <v>348</v>
      </c>
      <c r="K111" s="635">
        <f t="shared" si="32"/>
        <v>8.53965</v>
      </c>
      <c r="L111" s="635">
        <f t="shared" si="33"/>
        <v>11.116100000000001</v>
      </c>
      <c r="M111" s="635">
        <f t="shared" si="34"/>
        <v>11.967650000000001</v>
      </c>
      <c r="N111" s="635">
        <f t="shared" si="35"/>
        <v>11.967650000000001</v>
      </c>
      <c r="O111" s="636">
        <f t="shared" si="36"/>
        <v>0.36790268289102512</v>
      </c>
      <c r="P111" s="635">
        <f>IF($O$11,Weather_Site!H109,IF(0.191*(Weather_Site!K109+104)*(Weather_Site!J109+1)^1.5/(3.52*(Weather_Site!J109+1)^1.5+Weather_Site!I109-1)&gt;10, 10,0.191*(Weather_Site!K109+104)*(Weather_Site!J109+1)^1.5/(3.52*(Weather_Site!J109+1)^1.5+Weather_Site!I109-1)))</f>
        <v>9</v>
      </c>
      <c r="Q111" s="635">
        <f t="shared" si="37"/>
        <v>2.6816207039999975</v>
      </c>
      <c r="R111" s="636">
        <f t="shared" si="38"/>
        <v>0.10446232872371478</v>
      </c>
      <c r="S111" s="636">
        <f t="shared" si="39"/>
        <v>3.8431970998498863E-2</v>
      </c>
      <c r="T111" s="635">
        <f t="shared" si="40"/>
        <v>1</v>
      </c>
      <c r="U111" s="707">
        <f t="shared" si="41"/>
        <v>9.2219051625702573</v>
      </c>
      <c r="V111" s="707">
        <f t="shared" si="42"/>
        <v>30.62925194105793</v>
      </c>
      <c r="W111" s="707">
        <f t="shared" si="43"/>
        <v>54.708322319894599</v>
      </c>
      <c r="X111" s="636">
        <f t="shared" si="44"/>
        <v>1</v>
      </c>
      <c r="Y111" s="636">
        <f t="shared" si="45"/>
        <v>0</v>
      </c>
      <c r="Z111" s="637">
        <f t="shared" si="46"/>
        <v>30.62925194105793</v>
      </c>
      <c r="AA111" s="635">
        <f t="shared" si="47"/>
        <v>0.82400691432973672</v>
      </c>
      <c r="AB111" s="707">
        <f t="shared" si="48"/>
        <v>6.7668018604316726</v>
      </c>
      <c r="AC111" s="721"/>
    </row>
    <row r="112" spans="1:29"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49"/>
        <v>0</v>
      </c>
      <c r="I112" s="27">
        <f t="shared" si="31"/>
        <v>3.4</v>
      </c>
      <c r="J112" s="738">
        <f>IF(Weather_Site!M110&lt;180,Weather_Site!M110+180,Weather_Site!M110-180)</f>
        <v>354</v>
      </c>
      <c r="K112" s="635">
        <f t="shared" si="32"/>
        <v>8.8596899999999987</v>
      </c>
      <c r="L112" s="635">
        <f t="shared" si="33"/>
        <v>11.575700000000001</v>
      </c>
      <c r="M112" s="635">
        <f t="shared" si="34"/>
        <v>12.50081</v>
      </c>
      <c r="N112" s="635">
        <f t="shared" si="35"/>
        <v>11.575700000000001</v>
      </c>
      <c r="O112" s="636">
        <f t="shared" si="36"/>
        <v>0.33523296785579548</v>
      </c>
      <c r="P112" s="635">
        <f>IF($O$11,Weather_Site!H110,IF(0.191*(Weather_Site!K110+104)*(Weather_Site!J110+1)^1.5/(3.52*(Weather_Site!J110+1)^1.5+Weather_Site!I110-1)&gt;10, 10,0.191*(Weather_Site!K110+104)*(Weather_Site!J110+1)^1.5/(3.52*(Weather_Site!J110+1)^1.5+Weather_Site!I110-1)))</f>
        <v>9</v>
      </c>
      <c r="Q112" s="635">
        <f t="shared" si="37"/>
        <v>2.6816207039999975</v>
      </c>
      <c r="R112" s="636">
        <f t="shared" si="38"/>
        <v>0.10446232872371478</v>
      </c>
      <c r="S112" s="636">
        <f t="shared" si="39"/>
        <v>3.5019216487178616E-2</v>
      </c>
      <c r="T112" s="635">
        <f t="shared" si="40"/>
        <v>1</v>
      </c>
      <c r="U112" s="707">
        <f t="shared" si="41"/>
        <v>9.0201185365546017</v>
      </c>
      <c r="V112" s="707">
        <f t="shared" si="42"/>
        <v>29.988296354214036</v>
      </c>
      <c r="W112" s="707">
        <f t="shared" si="43"/>
        <v>53.583651067561441</v>
      </c>
      <c r="X112" s="636">
        <f t="shared" si="44"/>
        <v>1</v>
      </c>
      <c r="Y112" s="636">
        <f t="shared" si="45"/>
        <v>0</v>
      </c>
      <c r="Z112" s="637">
        <f t="shared" si="46"/>
        <v>29.988296354214036</v>
      </c>
      <c r="AA112" s="635">
        <f t="shared" si="47"/>
        <v>0.81150349189343718</v>
      </c>
      <c r="AB112" s="707">
        <f t="shared" si="48"/>
        <v>6.3175816032303942</v>
      </c>
      <c r="AC112" s="721"/>
    </row>
    <row r="113" spans="1:29"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49"/>
        <v>0</v>
      </c>
      <c r="I113" s="27">
        <f t="shared" si="31"/>
        <v>3.8</v>
      </c>
      <c r="J113" s="738">
        <f>IF(Weather_Site!M111&lt;180,Weather_Site!M111+180,Weather_Site!M111-180)</f>
        <v>336</v>
      </c>
      <c r="K113" s="635">
        <f t="shared" si="32"/>
        <v>8.443010000000001</v>
      </c>
      <c r="L113" s="635">
        <f t="shared" si="33"/>
        <v>11</v>
      </c>
      <c r="M113" s="635">
        <f t="shared" si="34"/>
        <v>11.82809</v>
      </c>
      <c r="N113" s="635">
        <f t="shared" si="35"/>
        <v>11</v>
      </c>
      <c r="O113" s="636">
        <f t="shared" si="36"/>
        <v>0.37699346378050669</v>
      </c>
      <c r="P113" s="635">
        <f>IF($O$11,Weather_Site!H111,IF(0.191*(Weather_Site!K111+104)*(Weather_Site!J111+1)^1.5/(3.52*(Weather_Site!J111+1)^1.5+Weather_Site!I111-1)&gt;10, 10,0.191*(Weather_Site!K111+104)*(Weather_Site!J111+1)^1.5/(3.52*(Weather_Site!J111+1)^1.5+Weather_Site!I111-1)))</f>
        <v>9</v>
      </c>
      <c r="Q113" s="635">
        <f t="shared" si="37"/>
        <v>2.6816207039999975</v>
      </c>
      <c r="R113" s="636">
        <f t="shared" si="38"/>
        <v>0.10446232872371478</v>
      </c>
      <c r="S113" s="636">
        <f t="shared" si="39"/>
        <v>3.9381615140131151E-2</v>
      </c>
      <c r="T113" s="635">
        <f t="shared" si="40"/>
        <v>1</v>
      </c>
      <c r="U113" s="707">
        <f t="shared" si="41"/>
        <v>11.519339173193771</v>
      </c>
      <c r="V113" s="707">
        <f t="shared" si="42"/>
        <v>38.301535705321811</v>
      </c>
      <c r="W113" s="707">
        <f t="shared" si="43"/>
        <v>68.796096886522477</v>
      </c>
      <c r="X113" s="636">
        <f t="shared" si="44"/>
        <v>1</v>
      </c>
      <c r="Y113" s="636">
        <f t="shared" si="45"/>
        <v>0</v>
      </c>
      <c r="Z113" s="637">
        <f t="shared" si="46"/>
        <v>38.301535705321811</v>
      </c>
      <c r="AA113" s="635">
        <f t="shared" si="47"/>
        <v>0.96854443325394679</v>
      </c>
      <c r="AB113" s="707">
        <f t="shared" si="48"/>
        <v>7.3832862412911178</v>
      </c>
      <c r="AC113" s="721"/>
    </row>
    <row r="114" spans="1:29"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49"/>
        <v>0</v>
      </c>
      <c r="I114" s="27">
        <f t="shared" si="31"/>
        <v>4.8</v>
      </c>
      <c r="J114" s="738">
        <f>IF(Weather_Site!M112&lt;180,Weather_Site!M112+180,Weather_Site!M112-180)</f>
        <v>337</v>
      </c>
      <c r="K114" s="635">
        <f t="shared" si="32"/>
        <v>7.532</v>
      </c>
      <c r="L114" s="635">
        <f t="shared" si="33"/>
        <v>9.7134999999999998</v>
      </c>
      <c r="M114" s="635">
        <f t="shared" si="34"/>
        <v>10.331000000000001</v>
      </c>
      <c r="N114" s="635">
        <f t="shared" si="35"/>
        <v>9.7134999999999998</v>
      </c>
      <c r="O114" s="636">
        <f t="shared" si="36"/>
        <v>0.48732615384169103</v>
      </c>
      <c r="P114" s="635">
        <f>IF($O$11,Weather_Site!H112,IF(0.191*(Weather_Site!K112+104)*(Weather_Site!J112+1)^1.5/(3.52*(Weather_Site!J112+1)^1.5+Weather_Site!I112-1)&gt;10, 10,0.191*(Weather_Site!K112+104)*(Weather_Site!J112+1)^1.5/(3.52*(Weather_Site!J112+1)^1.5+Weather_Site!I112-1)))</f>
        <v>9</v>
      </c>
      <c r="Q114" s="635">
        <f t="shared" si="37"/>
        <v>2.6816207039999975</v>
      </c>
      <c r="R114" s="636">
        <f t="shared" si="38"/>
        <v>0.10446232872371478</v>
      </c>
      <c r="S114" s="636">
        <f t="shared" si="39"/>
        <v>5.0907224878274329E-2</v>
      </c>
      <c r="T114" s="635">
        <f t="shared" si="40"/>
        <v>1</v>
      </c>
      <c r="U114" s="707">
        <f t="shared" si="41"/>
        <v>19.25956470235727</v>
      </c>
      <c r="V114" s="707">
        <f t="shared" si="42"/>
        <v>63.710305789976609</v>
      </c>
      <c r="W114" s="707">
        <f t="shared" si="43"/>
        <v>117.46653463886911</v>
      </c>
      <c r="X114" s="636">
        <f t="shared" si="44"/>
        <v>1</v>
      </c>
      <c r="Y114" s="636">
        <f t="shared" si="45"/>
        <v>0</v>
      </c>
      <c r="Z114" s="637">
        <f t="shared" si="46"/>
        <v>63.710305789976609</v>
      </c>
      <c r="AA114" s="635">
        <f t="shared" si="47"/>
        <v>1.3992581701709168</v>
      </c>
      <c r="AB114" s="707">
        <f t="shared" si="48"/>
        <v>10.129468613262624</v>
      </c>
      <c r="AC114" s="721"/>
    </row>
    <row r="115" spans="1:29"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si="49"/>
        <v>0</v>
      </c>
      <c r="I115" s="27">
        <f t="shared" si="31"/>
        <v>3.4</v>
      </c>
      <c r="J115" s="738">
        <f>IF(Weather_Site!M113&lt;180,Weather_Site!M113+180,Weather_Site!M113-180)</f>
        <v>341</v>
      </c>
      <c r="K115" s="635">
        <f t="shared" si="32"/>
        <v>6.9967300000000003</v>
      </c>
      <c r="L115" s="635">
        <f t="shared" si="33"/>
        <v>8.9429999999999996</v>
      </c>
      <c r="M115" s="635">
        <f t="shared" si="34"/>
        <v>9.4375700000000009</v>
      </c>
      <c r="N115" s="635">
        <f t="shared" si="35"/>
        <v>8.9429999999999996</v>
      </c>
      <c r="O115" s="636">
        <f t="shared" si="36"/>
        <v>0.56248827053988992</v>
      </c>
      <c r="P115" s="635">
        <f>IF($O$11,Weather_Site!H113,IF(0.191*(Weather_Site!K113+104)*(Weather_Site!J113+1)^1.5/(3.52*(Weather_Site!J113+1)^1.5+Weather_Site!I113-1)&gt;10, 10,0.191*(Weather_Site!K113+104)*(Weather_Site!J113+1)^1.5/(3.52*(Weather_Site!J113+1)^1.5+Weather_Site!I113-1)))</f>
        <v>9</v>
      </c>
      <c r="Q115" s="635">
        <f t="shared" si="37"/>
        <v>2.6816207039999975</v>
      </c>
      <c r="R115" s="636">
        <f t="shared" si="38"/>
        <v>0.10446232872371478</v>
      </c>
      <c r="S115" s="636">
        <f t="shared" si="39"/>
        <v>5.8758834620371792E-2</v>
      </c>
      <c r="T115" s="635">
        <f t="shared" si="40"/>
        <v>1</v>
      </c>
      <c r="U115" s="707">
        <f t="shared" si="41"/>
        <v>15.134880403152707</v>
      </c>
      <c r="V115" s="707">
        <f t="shared" si="42"/>
        <v>50.317440616328469</v>
      </c>
      <c r="W115" s="707">
        <f t="shared" si="43"/>
        <v>89.908147790436658</v>
      </c>
      <c r="X115" s="636">
        <f t="shared" si="44"/>
        <v>1</v>
      </c>
      <c r="Y115" s="636">
        <f t="shared" si="45"/>
        <v>0</v>
      </c>
      <c r="Z115" s="637">
        <f t="shared" si="46"/>
        <v>50.317440616328469</v>
      </c>
      <c r="AA115" s="635">
        <f t="shared" si="47"/>
        <v>1.1797683804006125</v>
      </c>
      <c r="AB115" s="707">
        <f t="shared" si="48"/>
        <v>10.600286638646764</v>
      </c>
      <c r="AC115" s="644"/>
    </row>
    <row r="116" spans="1:29"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ref="H116:H147" si="50">C$4</f>
        <v>0</v>
      </c>
      <c r="I116" s="27">
        <f t="shared" si="31"/>
        <v>4.4000000000000004</v>
      </c>
      <c r="J116" s="738">
        <f>IF(Weather_Site!M114&lt;180,Weather_Site!M114+180,Weather_Site!M114-180)</f>
        <v>343</v>
      </c>
      <c r="K116" s="635">
        <f t="shared" si="32"/>
        <v>6.1811799999999995</v>
      </c>
      <c r="L116" s="635">
        <f t="shared" si="33"/>
        <v>7.7827000000000011</v>
      </c>
      <c r="M116" s="635">
        <f t="shared" si="34"/>
        <v>8.0892199999999992</v>
      </c>
      <c r="N116" s="635">
        <f t="shared" si="35"/>
        <v>7.7827000000000011</v>
      </c>
      <c r="O116" s="636">
        <f t="shared" si="36"/>
        <v>0.68371749608330545</v>
      </c>
      <c r="P116" s="635">
        <f>IF($O$11,Weather_Site!H114,IF(0.191*(Weather_Site!K114+104)*(Weather_Site!J114+1)^1.5/(3.52*(Weather_Site!J114+1)^1.5+Weather_Site!I114-1)&gt;10, 10,0.191*(Weather_Site!K114+104)*(Weather_Site!J114+1)^1.5/(3.52*(Weather_Site!J114+1)^1.5+Weather_Site!I114-1)))</f>
        <v>9</v>
      </c>
      <c r="Q116" s="635">
        <f t="shared" si="37"/>
        <v>2.6816207039999975</v>
      </c>
      <c r="R116" s="636">
        <f t="shared" si="38"/>
        <v>0.10446232872371478</v>
      </c>
      <c r="S116" s="636">
        <f t="shared" si="39"/>
        <v>7.1422721830009431E-2</v>
      </c>
      <c r="T116" s="635">
        <f t="shared" si="40"/>
        <v>1</v>
      </c>
      <c r="U116" s="707">
        <f t="shared" si="41"/>
        <v>24.585611912220688</v>
      </c>
      <c r="V116" s="707">
        <f t="shared" si="42"/>
        <v>81.542115121208226</v>
      </c>
      <c r="W116" s="707">
        <f t="shared" si="43"/>
        <v>148.57795407951005</v>
      </c>
      <c r="X116" s="636">
        <f t="shared" si="44"/>
        <v>1</v>
      </c>
      <c r="Y116" s="636">
        <f t="shared" si="45"/>
        <v>0</v>
      </c>
      <c r="Z116" s="637">
        <f t="shared" si="46"/>
        <v>81.542115121208226</v>
      </c>
      <c r="AA116" s="635">
        <f t="shared" si="47"/>
        <v>1.6725665689404325</v>
      </c>
      <c r="AB116" s="707">
        <f t="shared" si="48"/>
        <v>13.941682930038336</v>
      </c>
      <c r="AC116" s="644"/>
    </row>
    <row r="117" spans="1:29"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50"/>
        <v>0</v>
      </c>
      <c r="I117" s="27">
        <f t="shared" si="31"/>
        <v>4</v>
      </c>
      <c r="J117" s="738">
        <f>IF(Weather_Site!M115&lt;180,Weather_Site!M115+180,Weather_Site!M115-180)</f>
        <v>339</v>
      </c>
      <c r="K117" s="635">
        <f t="shared" si="32"/>
        <v>5.7451099999999995</v>
      </c>
      <c r="L117" s="635">
        <f t="shared" si="33"/>
        <v>7.1474000000000002</v>
      </c>
      <c r="M117" s="635">
        <f t="shared" si="34"/>
        <v>7.3541900000000009</v>
      </c>
      <c r="N117" s="635">
        <f t="shared" si="35"/>
        <v>7.1474000000000002</v>
      </c>
      <c r="O117" s="636">
        <f t="shared" si="36"/>
        <v>0.75087109539438801</v>
      </c>
      <c r="P117" s="635">
        <f>IF($O$11,Weather_Site!H115,IF(0.191*(Weather_Site!K115+104)*(Weather_Site!J115+1)^1.5/(3.52*(Weather_Site!J115+1)^1.5+Weather_Site!I115-1)&gt;10, 10,0.191*(Weather_Site!K115+104)*(Weather_Site!J115+1)^1.5/(3.52*(Weather_Site!J115+1)^1.5+Weather_Site!I115-1)))</f>
        <v>9</v>
      </c>
      <c r="Q117" s="635">
        <f t="shared" si="37"/>
        <v>2.6816207039999975</v>
      </c>
      <c r="R117" s="636">
        <f t="shared" si="38"/>
        <v>0.10446232872371478</v>
      </c>
      <c r="S117" s="636">
        <f t="shared" si="39"/>
        <v>7.843774319622436E-2</v>
      </c>
      <c r="T117" s="635">
        <f t="shared" si="40"/>
        <v>1</v>
      </c>
      <c r="U117" s="707">
        <f t="shared" si="41"/>
        <v>24.302288919058267</v>
      </c>
      <c r="V117" s="707">
        <f t="shared" si="42"/>
        <v>80.758470902869831</v>
      </c>
      <c r="W117" s="707">
        <f t="shared" si="43"/>
        <v>145.65747896984894</v>
      </c>
      <c r="X117" s="636">
        <f t="shared" si="44"/>
        <v>1</v>
      </c>
      <c r="Y117" s="636">
        <f t="shared" si="45"/>
        <v>0</v>
      </c>
      <c r="Z117" s="637">
        <f t="shared" si="46"/>
        <v>80.758470902869831</v>
      </c>
      <c r="AA117" s="635">
        <f t="shared" si="47"/>
        <v>1.6609296310002513</v>
      </c>
      <c r="AB117" s="707">
        <f t="shared" si="48"/>
        <v>14.93314920541232</v>
      </c>
      <c r="AC117" s="644"/>
    </row>
    <row r="118" spans="1:29"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50"/>
        <v>0</v>
      </c>
      <c r="I118" s="27">
        <f t="shared" si="31"/>
        <v>4</v>
      </c>
      <c r="J118" s="738">
        <f>IF(Weather_Site!M116&lt;180,Weather_Site!M116+180,Weather_Site!M116-180)</f>
        <v>344</v>
      </c>
      <c r="K118" s="635">
        <f t="shared" si="32"/>
        <v>5.17638</v>
      </c>
      <c r="L118" s="635">
        <f t="shared" si="33"/>
        <v>6.3352000000000013</v>
      </c>
      <c r="M118" s="635">
        <f t="shared" si="34"/>
        <v>6.4110200000000006</v>
      </c>
      <c r="N118" s="635">
        <f t="shared" si="35"/>
        <v>6.3352000000000013</v>
      </c>
      <c r="O118" s="636">
        <f t="shared" si="36"/>
        <v>0.83446454640692369</v>
      </c>
      <c r="P118" s="635">
        <f>IF($O$11,Weather_Site!H116,IF(0.191*(Weather_Site!K116+104)*(Weather_Site!J116+1)^1.5/(3.52*(Weather_Site!J116+1)^1.5+Weather_Site!I116-1)&gt;10, 10,0.191*(Weather_Site!K116+104)*(Weather_Site!J116+1)^1.5/(3.52*(Weather_Site!J116+1)^1.5+Weather_Site!I116-1)))</f>
        <v>9</v>
      </c>
      <c r="Q118" s="635">
        <f t="shared" si="37"/>
        <v>2.6816207039999975</v>
      </c>
      <c r="R118" s="636">
        <f t="shared" si="38"/>
        <v>0.10446232872371478</v>
      </c>
      <c r="S118" s="636">
        <f t="shared" si="39"/>
        <v>8.7170109755045605E-2</v>
      </c>
      <c r="T118" s="635">
        <f t="shared" si="40"/>
        <v>1</v>
      </c>
      <c r="U118" s="707">
        <f t="shared" si="41"/>
        <v>27.007829471502561</v>
      </c>
      <c r="V118" s="707">
        <f t="shared" si="42"/>
        <v>89.749200899901467</v>
      </c>
      <c r="W118" s="707">
        <f t="shared" si="43"/>
        <v>161.87332668000772</v>
      </c>
      <c r="X118" s="636">
        <f t="shared" si="44"/>
        <v>1</v>
      </c>
      <c r="Y118" s="636">
        <f t="shared" si="45"/>
        <v>0</v>
      </c>
      <c r="Z118" s="637">
        <f t="shared" si="46"/>
        <v>89.749200899901467</v>
      </c>
      <c r="AA118" s="635">
        <f t="shared" si="47"/>
        <v>1.7926494108808597</v>
      </c>
      <c r="AB118" s="707">
        <f t="shared" si="48"/>
        <v>16.595636261076454</v>
      </c>
      <c r="AC118" s="644"/>
    </row>
    <row r="119" spans="1:29"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50"/>
        <v>0</v>
      </c>
      <c r="I119" s="27">
        <f t="shared" si="31"/>
        <v>4</v>
      </c>
      <c r="J119" s="738">
        <f>IF(Weather_Site!M117&lt;180,Weather_Site!M117+180,Weather_Site!M117-180)</f>
        <v>358</v>
      </c>
      <c r="K119" s="635">
        <f t="shared" si="32"/>
        <v>4.6628600000000002</v>
      </c>
      <c r="L119" s="635">
        <f t="shared" si="33"/>
        <v>5.6041000000000007</v>
      </c>
      <c r="M119" s="635">
        <f t="shared" si="34"/>
        <v>5.5615399999999999</v>
      </c>
      <c r="N119" s="635">
        <f t="shared" si="35"/>
        <v>4.6628600000000002</v>
      </c>
      <c r="O119" s="636">
        <f t="shared" si="36"/>
        <v>0.90380185515184708</v>
      </c>
      <c r="P119" s="635">
        <f>IF($O$11,Weather_Site!H117,IF(0.191*(Weather_Site!K117+104)*(Weather_Site!J117+1)^1.5/(3.52*(Weather_Site!J117+1)^1.5+Weather_Site!I117-1)&gt;10, 10,0.191*(Weather_Site!K117+104)*(Weather_Site!J117+1)^1.5/(3.52*(Weather_Site!J117+1)^1.5+Weather_Site!I117-1)))</f>
        <v>9</v>
      </c>
      <c r="Q119" s="635">
        <f t="shared" si="37"/>
        <v>2.6816207039999975</v>
      </c>
      <c r="R119" s="636">
        <f t="shared" si="38"/>
        <v>0.10446232872371478</v>
      </c>
      <c r="S119" s="636">
        <f t="shared" si="39"/>
        <v>9.4413246493975492E-2</v>
      </c>
      <c r="T119" s="635">
        <f t="shared" si="40"/>
        <v>1</v>
      </c>
      <c r="U119" s="707">
        <f t="shared" si="41"/>
        <v>29.251963411834907</v>
      </c>
      <c r="V119" s="707">
        <f t="shared" si="42"/>
        <v>97.206639420449491</v>
      </c>
      <c r="W119" s="707">
        <f t="shared" si="43"/>
        <v>175.32370138784614</v>
      </c>
      <c r="X119" s="636">
        <f t="shared" si="44"/>
        <v>1</v>
      </c>
      <c r="Y119" s="636">
        <f t="shared" si="45"/>
        <v>0</v>
      </c>
      <c r="Z119" s="637">
        <f t="shared" si="46"/>
        <v>97.206639420449491</v>
      </c>
      <c r="AA119" s="635">
        <f t="shared" si="47"/>
        <v>1.8991462165031918</v>
      </c>
      <c r="AB119" s="707">
        <f t="shared" si="48"/>
        <v>17.974600484550571</v>
      </c>
      <c r="AC119" s="644"/>
    </row>
    <row r="120" spans="1:29"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50"/>
        <v>0</v>
      </c>
      <c r="I120" s="27">
        <f t="shared" si="31"/>
        <v>4</v>
      </c>
      <c r="J120" s="738">
        <f>IF(Weather_Site!M118&lt;180,Weather_Site!M118+180,Weather_Site!M118-180)</f>
        <v>356</v>
      </c>
      <c r="K120" s="635">
        <f t="shared" si="32"/>
        <v>4.1561300000000001</v>
      </c>
      <c r="L120" s="635">
        <f t="shared" si="33"/>
        <v>4.8764000000000003</v>
      </c>
      <c r="M120" s="635">
        <f t="shared" si="34"/>
        <v>4.7173700000000007</v>
      </c>
      <c r="N120" s="635">
        <f t="shared" si="35"/>
        <v>4.1561300000000001</v>
      </c>
      <c r="O120" s="636">
        <f t="shared" si="36"/>
        <v>0.96327421423678805</v>
      </c>
      <c r="P120" s="635">
        <f>IF($O$11,Weather_Site!H118,IF(0.191*(Weather_Site!K118+104)*(Weather_Site!J118+1)^1.5/(3.52*(Weather_Site!J118+1)^1.5+Weather_Site!I118-1)&gt;10, 10,0.191*(Weather_Site!K118+104)*(Weather_Site!J118+1)^1.5/(3.52*(Weather_Site!J118+1)^1.5+Weather_Site!I118-1)))</f>
        <v>9</v>
      </c>
      <c r="Q120" s="635">
        <f t="shared" si="37"/>
        <v>2.6816207039999975</v>
      </c>
      <c r="R120" s="636">
        <f t="shared" si="38"/>
        <v>0.10446232872371478</v>
      </c>
      <c r="S120" s="636">
        <f t="shared" si="39"/>
        <v>0.10062586761868141</v>
      </c>
      <c r="T120" s="635">
        <f t="shared" si="40"/>
        <v>1</v>
      </c>
      <c r="U120" s="707">
        <f t="shared" si="41"/>
        <v>31.176813711766986</v>
      </c>
      <c r="V120" s="707">
        <f t="shared" si="42"/>
        <v>103.60307259006505</v>
      </c>
      <c r="W120" s="707">
        <f t="shared" si="43"/>
        <v>186.86042712657252</v>
      </c>
      <c r="X120" s="636">
        <f t="shared" si="44"/>
        <v>1</v>
      </c>
      <c r="Y120" s="636">
        <f t="shared" si="45"/>
        <v>0</v>
      </c>
      <c r="Z120" s="637">
        <f t="shared" si="46"/>
        <v>103.60307259006505</v>
      </c>
      <c r="AA120" s="635">
        <f t="shared" si="47"/>
        <v>1.9886971959818451</v>
      </c>
      <c r="AB120" s="707">
        <f t="shared" si="48"/>
        <v>19.157372890174752</v>
      </c>
      <c r="AC120" s="644"/>
    </row>
    <row r="121" spans="1:29"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50"/>
        <v>0</v>
      </c>
      <c r="I121" s="27">
        <f t="shared" si="31"/>
        <v>3.6</v>
      </c>
      <c r="J121" s="738">
        <f>IF(Weather_Site!M119&lt;180,Weather_Site!M119+180,Weather_Site!M119-180)</f>
        <v>356</v>
      </c>
      <c r="K121" s="635">
        <f t="shared" si="32"/>
        <v>3.8912999999999998</v>
      </c>
      <c r="L121" s="635">
        <f t="shared" si="33"/>
        <v>4.4979000000000013</v>
      </c>
      <c r="M121" s="635">
        <f t="shared" si="34"/>
        <v>4.2779000000000007</v>
      </c>
      <c r="N121" s="635">
        <f t="shared" si="35"/>
        <v>3.8912999999999998</v>
      </c>
      <c r="O121" s="636">
        <f t="shared" si="36"/>
        <v>0.98915881085425528</v>
      </c>
      <c r="P121" s="635">
        <f>IF($O$11,Weather_Site!H119,IF(0.191*(Weather_Site!K119+104)*(Weather_Site!J119+1)^1.5/(3.52*(Weather_Site!J119+1)^1.5+Weather_Site!I119-1)&gt;10, 10,0.191*(Weather_Site!K119+104)*(Weather_Site!J119+1)^1.5/(3.52*(Weather_Site!J119+1)^1.5+Weather_Site!I119-1)))</f>
        <v>9</v>
      </c>
      <c r="Q121" s="635">
        <f t="shared" si="37"/>
        <v>2.6816207039999975</v>
      </c>
      <c r="R121" s="636">
        <f t="shared" si="38"/>
        <v>0.10446232872371478</v>
      </c>
      <c r="S121" s="636">
        <f t="shared" si="39"/>
        <v>0.10332983285941602</v>
      </c>
      <c r="T121" s="635">
        <f t="shared" si="40"/>
        <v>1</v>
      </c>
      <c r="U121" s="707">
        <f t="shared" si="41"/>
        <v>28.425049960531489</v>
      </c>
      <c r="V121" s="707">
        <f t="shared" si="42"/>
        <v>94.530905814633797</v>
      </c>
      <c r="W121" s="707">
        <f t="shared" si="43"/>
        <v>169.24796003727465</v>
      </c>
      <c r="X121" s="636">
        <f t="shared" si="44"/>
        <v>1</v>
      </c>
      <c r="Y121" s="636">
        <f t="shared" si="45"/>
        <v>0</v>
      </c>
      <c r="Z121" s="637">
        <f t="shared" si="46"/>
        <v>94.530905814633797</v>
      </c>
      <c r="AA121" s="635">
        <f t="shared" si="47"/>
        <v>1.8612046002160962</v>
      </c>
      <c r="AB121" s="707">
        <f t="shared" si="48"/>
        <v>19.031024684859435</v>
      </c>
      <c r="AC121" s="644"/>
    </row>
    <row r="122" spans="1:29"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50"/>
        <v>0</v>
      </c>
      <c r="I122" s="27">
        <f t="shared" si="31"/>
        <v>3.8</v>
      </c>
      <c r="J122" s="738">
        <f>IF(Weather_Site!M120&lt;180,Weather_Site!M120+180,Weather_Site!M120-180)</f>
        <v>359</v>
      </c>
      <c r="K122" s="635">
        <f t="shared" si="32"/>
        <v>3.71888</v>
      </c>
      <c r="L122" s="635">
        <f t="shared" si="33"/>
        <v>4.2512000000000008</v>
      </c>
      <c r="M122" s="635">
        <f t="shared" si="34"/>
        <v>3.9915199999999995</v>
      </c>
      <c r="N122" s="635">
        <f t="shared" si="35"/>
        <v>3.71888</v>
      </c>
      <c r="O122" s="636">
        <f t="shared" si="36"/>
        <v>1</v>
      </c>
      <c r="P122" s="635">
        <f>IF($O$11,Weather_Site!H120,IF(0.191*(Weather_Site!K120+104)*(Weather_Site!J120+1)^1.5/(3.52*(Weather_Site!J120+1)^1.5+Weather_Site!I120-1)&gt;10, 10,0.191*(Weather_Site!K120+104)*(Weather_Site!J120+1)^1.5/(3.52*(Weather_Site!J120+1)^1.5+Weather_Site!I120-1)))</f>
        <v>9</v>
      </c>
      <c r="Q122" s="635">
        <f t="shared" si="37"/>
        <v>2.6816207039999975</v>
      </c>
      <c r="R122" s="636">
        <f t="shared" si="38"/>
        <v>0.10446232872371478</v>
      </c>
      <c r="S122" s="636">
        <f t="shared" si="39"/>
        <v>0.10446232872371478</v>
      </c>
      <c r="T122" s="635">
        <f t="shared" si="40"/>
        <v>1</v>
      </c>
      <c r="U122" s="707">
        <f t="shared" si="41"/>
        <v>30.55580608129738</v>
      </c>
      <c r="V122" s="707">
        <f t="shared" si="42"/>
        <v>101.59734686440545</v>
      </c>
      <c r="W122" s="707">
        <f t="shared" si="43"/>
        <v>182.48617945953825</v>
      </c>
      <c r="X122" s="636">
        <f t="shared" si="44"/>
        <v>1</v>
      </c>
      <c r="Y122" s="636">
        <f t="shared" si="45"/>
        <v>0</v>
      </c>
      <c r="Z122" s="637">
        <f t="shared" si="46"/>
        <v>101.59734686440545</v>
      </c>
      <c r="AA122" s="635">
        <f t="shared" si="47"/>
        <v>1.960785998508336</v>
      </c>
      <c r="AB122" s="707">
        <f t="shared" si="48"/>
        <v>19.58465318536615</v>
      </c>
      <c r="AC122" s="644"/>
    </row>
    <row r="123" spans="1:29"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50"/>
        <v>0</v>
      </c>
      <c r="I123" s="27">
        <f t="shared" si="31"/>
        <v>3.8</v>
      </c>
      <c r="J123" s="738">
        <f>IF(Weather_Site!M121&lt;180,Weather_Site!M121+180,Weather_Site!M121-180)</f>
        <v>357</v>
      </c>
      <c r="K123" s="635">
        <f t="shared" si="32"/>
        <v>3.5663399999999994</v>
      </c>
      <c r="L123" s="635">
        <f t="shared" si="33"/>
        <v>4.0394000000000005</v>
      </c>
      <c r="M123" s="635">
        <f t="shared" si="34"/>
        <v>3.7442600000000006</v>
      </c>
      <c r="N123" s="635">
        <f t="shared" si="35"/>
        <v>3.5663399999999994</v>
      </c>
      <c r="O123" s="636">
        <f t="shared" si="36"/>
        <v>1</v>
      </c>
      <c r="P123" s="635">
        <f>IF($O$11,Weather_Site!H121,IF(0.191*(Weather_Site!K121+104)*(Weather_Site!J121+1)^1.5/(3.52*(Weather_Site!J121+1)^1.5+Weather_Site!I121-1)&gt;10, 10,0.191*(Weather_Site!K121+104)*(Weather_Site!J121+1)^1.5/(3.52*(Weather_Site!J121+1)^1.5+Weather_Site!I121-1)))</f>
        <v>9</v>
      </c>
      <c r="Q123" s="635">
        <f t="shared" si="37"/>
        <v>2.6816207039999975</v>
      </c>
      <c r="R123" s="636">
        <f t="shared" si="38"/>
        <v>0.10446232872371478</v>
      </c>
      <c r="S123" s="636">
        <f t="shared" si="39"/>
        <v>0.10446232872371478</v>
      </c>
      <c r="T123" s="635">
        <f t="shared" si="40"/>
        <v>1</v>
      </c>
      <c r="U123" s="707">
        <f t="shared" si="41"/>
        <v>30.55580608129738</v>
      </c>
      <c r="V123" s="707">
        <f t="shared" si="42"/>
        <v>101.59734686440545</v>
      </c>
      <c r="W123" s="707">
        <f t="shared" si="43"/>
        <v>182.48617945953825</v>
      </c>
      <c r="X123" s="636">
        <f t="shared" si="44"/>
        <v>1</v>
      </c>
      <c r="Y123" s="636">
        <f t="shared" si="45"/>
        <v>0</v>
      </c>
      <c r="Z123" s="637">
        <f t="shared" si="46"/>
        <v>101.59734686440545</v>
      </c>
      <c r="AA123" s="635">
        <f t="shared" si="47"/>
        <v>1.960785998508336</v>
      </c>
      <c r="AB123" s="707">
        <f t="shared" si="48"/>
        <v>19.58465318536615</v>
      </c>
      <c r="AC123" s="644"/>
    </row>
    <row r="124" spans="1:29"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50"/>
        <v>0</v>
      </c>
      <c r="I124" s="27">
        <f t="shared" si="31"/>
        <v>4.2</v>
      </c>
      <c r="J124" s="738">
        <f>IF(Weather_Site!M122&lt;180,Weather_Site!M122+180,Weather_Site!M122-180)</f>
        <v>353</v>
      </c>
      <c r="K124" s="635">
        <f t="shared" si="32"/>
        <v>3.60236</v>
      </c>
      <c r="L124" s="635">
        <f t="shared" si="33"/>
        <v>4.100200000000001</v>
      </c>
      <c r="M124" s="635">
        <f t="shared" si="34"/>
        <v>3.81284</v>
      </c>
      <c r="N124" s="635">
        <f t="shared" si="35"/>
        <v>4.100200000000001</v>
      </c>
      <c r="O124" s="636">
        <f t="shared" si="36"/>
        <v>1</v>
      </c>
      <c r="P124" s="635">
        <f>IF($O$11,Weather_Site!H122,IF(0.191*(Weather_Site!K122+104)*(Weather_Site!J122+1)^1.5/(3.52*(Weather_Site!J122+1)^1.5+Weather_Site!I122-1)&gt;10, 10,0.191*(Weather_Site!K122+104)*(Weather_Site!J122+1)^1.5/(3.52*(Weather_Site!J122+1)^1.5+Weather_Site!I122-1)))</f>
        <v>9</v>
      </c>
      <c r="Q124" s="635">
        <f t="shared" si="37"/>
        <v>2.6816207039999975</v>
      </c>
      <c r="R124" s="636">
        <f t="shared" si="38"/>
        <v>0.10446232872371478</v>
      </c>
      <c r="S124" s="636">
        <f t="shared" si="39"/>
        <v>0.10446232872371478</v>
      </c>
      <c r="T124" s="635">
        <f t="shared" si="40"/>
        <v>1</v>
      </c>
      <c r="U124" s="707">
        <f t="shared" si="41"/>
        <v>34.166236453255763</v>
      </c>
      <c r="V124" s="707">
        <f t="shared" si="42"/>
        <v>113.43987454183028</v>
      </c>
      <c r="W124" s="707">
        <f t="shared" si="43"/>
        <v>205.59369436420488</v>
      </c>
      <c r="X124" s="636">
        <f t="shared" si="44"/>
        <v>1</v>
      </c>
      <c r="Y124" s="636">
        <f t="shared" si="45"/>
        <v>0</v>
      </c>
      <c r="Z124" s="637">
        <f t="shared" si="46"/>
        <v>113.43987454183028</v>
      </c>
      <c r="AA124" s="635">
        <f t="shared" si="47"/>
        <v>2.1234883079414049</v>
      </c>
      <c r="AB124" s="707">
        <f t="shared" si="48"/>
        <v>20.154906286303437</v>
      </c>
      <c r="AC124" s="644"/>
    </row>
    <row r="125" spans="1:29"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50"/>
        <v>0</v>
      </c>
      <c r="I125" s="27">
        <f t="shared" si="31"/>
        <v>3.8</v>
      </c>
      <c r="J125" s="738">
        <f>IF(Weather_Site!M123&lt;180,Weather_Site!M123+180,Weather_Site!M123-180)</f>
        <v>356</v>
      </c>
      <c r="K125" s="635">
        <f t="shared" si="32"/>
        <v>3.6365099999999995</v>
      </c>
      <c r="L125" s="635">
        <f t="shared" si="33"/>
        <v>4.1565000000000003</v>
      </c>
      <c r="M125" s="635">
        <f t="shared" si="34"/>
        <v>3.8765900000000002</v>
      </c>
      <c r="N125" s="635">
        <f t="shared" si="35"/>
        <v>4.1565000000000003</v>
      </c>
      <c r="O125" s="636">
        <f t="shared" si="36"/>
        <v>1</v>
      </c>
      <c r="P125" s="635">
        <f>IF($O$11,Weather_Site!H123,IF(0.191*(Weather_Site!K123+104)*(Weather_Site!J123+1)^1.5/(3.52*(Weather_Site!J123+1)^1.5+Weather_Site!I123-1)&gt;10, 10,0.191*(Weather_Site!K123+104)*(Weather_Site!J123+1)^1.5/(3.52*(Weather_Site!J123+1)^1.5+Weather_Site!I123-1)))</f>
        <v>9</v>
      </c>
      <c r="Q125" s="635">
        <f t="shared" si="37"/>
        <v>2.6816207039999975</v>
      </c>
      <c r="R125" s="636">
        <f t="shared" si="38"/>
        <v>0.10446232872371478</v>
      </c>
      <c r="S125" s="636">
        <f t="shared" si="39"/>
        <v>0.10446232872371478</v>
      </c>
      <c r="T125" s="635">
        <f t="shared" si="40"/>
        <v>1</v>
      </c>
      <c r="U125" s="707">
        <f t="shared" si="41"/>
        <v>30.55580608129738</v>
      </c>
      <c r="V125" s="707">
        <f t="shared" si="42"/>
        <v>101.59734686440545</v>
      </c>
      <c r="W125" s="707">
        <f t="shared" si="43"/>
        <v>182.48617945953825</v>
      </c>
      <c r="X125" s="636">
        <f t="shared" si="44"/>
        <v>1</v>
      </c>
      <c r="Y125" s="636">
        <f t="shared" si="45"/>
        <v>0</v>
      </c>
      <c r="Z125" s="637">
        <f t="shared" si="46"/>
        <v>101.59734686440545</v>
      </c>
      <c r="AA125" s="635">
        <f t="shared" si="47"/>
        <v>1.960785998508336</v>
      </c>
      <c r="AB125" s="707">
        <f t="shared" si="48"/>
        <v>19.58465318536615</v>
      </c>
      <c r="AC125" s="644"/>
    </row>
    <row r="126" spans="1:29"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50"/>
        <v>0</v>
      </c>
      <c r="I126" s="27">
        <f t="shared" si="31"/>
        <v>3.4</v>
      </c>
      <c r="J126" s="738">
        <f>IF(Weather_Site!M124&lt;180,Weather_Site!M124+180,Weather_Site!M124-180)</f>
        <v>350</v>
      </c>
      <c r="K126" s="635">
        <f t="shared" si="32"/>
        <v>3.9516299999999998</v>
      </c>
      <c r="L126" s="635">
        <f t="shared" si="33"/>
        <v>4.6172000000000004</v>
      </c>
      <c r="M126" s="635">
        <f t="shared" si="34"/>
        <v>4.4092700000000002</v>
      </c>
      <c r="N126" s="635">
        <f t="shared" si="35"/>
        <v>4.4092700000000002</v>
      </c>
      <c r="O126" s="636">
        <f t="shared" si="36"/>
        <v>0.98184115104659719</v>
      </c>
      <c r="P126" s="635">
        <f>IF($O$11,Weather_Site!H124,IF(0.191*(Weather_Site!K124+104)*(Weather_Site!J124+1)^1.5/(3.52*(Weather_Site!J124+1)^1.5+Weather_Site!I124-1)&gt;10, 10,0.191*(Weather_Site!K124+104)*(Weather_Site!J124+1)^1.5/(3.52*(Weather_Site!J124+1)^1.5+Weather_Site!I124-1)))</f>
        <v>9</v>
      </c>
      <c r="Q126" s="635">
        <f t="shared" si="37"/>
        <v>2.6816207039999975</v>
      </c>
      <c r="R126" s="636">
        <f t="shared" si="38"/>
        <v>0.10446232872371478</v>
      </c>
      <c r="S126" s="636">
        <f t="shared" si="39"/>
        <v>0.10256541307510013</v>
      </c>
      <c r="T126" s="635">
        <f t="shared" si="40"/>
        <v>1</v>
      </c>
      <c r="U126" s="707">
        <f t="shared" si="41"/>
        <v>26.418414701734147</v>
      </c>
      <c r="V126" s="707">
        <f t="shared" si="42"/>
        <v>87.83069158941899</v>
      </c>
      <c r="W126" s="707">
        <f t="shared" si="43"/>
        <v>156.93752908003026</v>
      </c>
      <c r="X126" s="636">
        <f t="shared" si="44"/>
        <v>1</v>
      </c>
      <c r="Y126" s="636">
        <f t="shared" si="45"/>
        <v>0</v>
      </c>
      <c r="Z126" s="637">
        <f t="shared" si="46"/>
        <v>87.83069158941899</v>
      </c>
      <c r="AA126" s="635">
        <f t="shared" si="47"/>
        <v>1.7648610665171085</v>
      </c>
      <c r="AB126" s="707">
        <f t="shared" si="48"/>
        <v>18.50313718492858</v>
      </c>
      <c r="AC126" s="644"/>
    </row>
    <row r="127" spans="1:29"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si="50"/>
        <v>0</v>
      </c>
      <c r="I127" s="27">
        <f t="shared" si="31"/>
        <v>2.8</v>
      </c>
      <c r="J127" s="738">
        <f>IF(Weather_Site!M125&lt;180,Weather_Site!M125+180,Weather_Site!M125-180)</f>
        <v>349</v>
      </c>
      <c r="K127" s="635">
        <f t="shared" si="32"/>
        <v>4.4218499999999992</v>
      </c>
      <c r="L127" s="635">
        <f t="shared" si="33"/>
        <v>5.3088000000000006</v>
      </c>
      <c r="M127" s="635">
        <f t="shared" si="34"/>
        <v>5.2080500000000001</v>
      </c>
      <c r="N127" s="635">
        <f t="shared" si="35"/>
        <v>5.2080500000000001</v>
      </c>
      <c r="O127" s="636">
        <f t="shared" si="36"/>
        <v>0.93007790221312558</v>
      </c>
      <c r="P127" s="635">
        <f>IF($O$11,Weather_Site!H125,IF(0.191*(Weather_Site!K125+104)*(Weather_Site!J125+1)^1.5/(3.52*(Weather_Site!J125+1)^1.5+Weather_Site!I125-1)&gt;10, 10,0.191*(Weather_Site!K125+104)*(Weather_Site!J125+1)^1.5/(3.52*(Weather_Site!J125+1)^1.5+Weather_Site!I125-1)))</f>
        <v>9</v>
      </c>
      <c r="Q127" s="635">
        <f t="shared" si="37"/>
        <v>2.6816207039999975</v>
      </c>
      <c r="R127" s="636">
        <f t="shared" si="38"/>
        <v>0.10446232872371478</v>
      </c>
      <c r="S127" s="636">
        <f t="shared" si="39"/>
        <v>9.7158103559650572E-2</v>
      </c>
      <c r="T127" s="635">
        <f t="shared" si="40"/>
        <v>1</v>
      </c>
      <c r="U127" s="707">
        <f t="shared" si="41"/>
        <v>19.853351094406843</v>
      </c>
      <c r="V127" s="707">
        <f t="shared" si="42"/>
        <v>65.609047491143386</v>
      </c>
      <c r="W127" s="707">
        <f t="shared" si="43"/>
        <v>117.96552953046563</v>
      </c>
      <c r="X127" s="636">
        <f t="shared" si="44"/>
        <v>1</v>
      </c>
      <c r="Y127" s="636">
        <f t="shared" si="45"/>
        <v>0</v>
      </c>
      <c r="Z127" s="637">
        <f t="shared" si="46"/>
        <v>65.609047491143386</v>
      </c>
      <c r="AA127" s="635">
        <f t="shared" si="47"/>
        <v>1.4292856210016383</v>
      </c>
      <c r="AB127" s="707">
        <f t="shared" si="48"/>
        <v>16.058607668676174</v>
      </c>
      <c r="AC127" s="644"/>
    </row>
    <row r="128" spans="1:29"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50"/>
        <v>0</v>
      </c>
      <c r="I128" s="27">
        <f t="shared" si="31"/>
        <v>2.4</v>
      </c>
      <c r="J128" s="738">
        <f>IF(Weather_Site!M126&lt;180,Weather_Site!M126+180,Weather_Site!M126-180)</f>
        <v>352</v>
      </c>
      <c r="K128" s="635">
        <f t="shared" si="32"/>
        <v>4.9980599999999997</v>
      </c>
      <c r="L128" s="635">
        <f t="shared" si="33"/>
        <v>6.1390000000000011</v>
      </c>
      <c r="M128" s="635">
        <f t="shared" si="34"/>
        <v>6.1705399999999999</v>
      </c>
      <c r="N128" s="635">
        <f t="shared" si="35"/>
        <v>6.1705399999999999</v>
      </c>
      <c r="O128" s="636">
        <f t="shared" si="36"/>
        <v>0.85483372865439988</v>
      </c>
      <c r="P128" s="635">
        <f>IF($O$11,Weather_Site!H126,IF(0.191*(Weather_Site!K126+104)*(Weather_Site!J126+1)^1.5/(3.52*(Weather_Site!J126+1)^1.5+Weather_Site!I126-1)&gt;10, 10,0.191*(Weather_Site!K126+104)*(Weather_Site!J126+1)^1.5/(3.52*(Weather_Site!J126+1)^1.5+Weather_Site!I126-1)))</f>
        <v>9</v>
      </c>
      <c r="Q128" s="635">
        <f t="shared" si="37"/>
        <v>2.6816207039999975</v>
      </c>
      <c r="R128" s="636">
        <f t="shared" si="38"/>
        <v>0.10446232872371478</v>
      </c>
      <c r="S128" s="636">
        <f t="shared" si="39"/>
        <v>8.9297921966814714E-2</v>
      </c>
      <c r="T128" s="635">
        <f t="shared" si="40"/>
        <v>1</v>
      </c>
      <c r="U128" s="707">
        <f t="shared" si="41"/>
        <v>15.014010019897295</v>
      </c>
      <c r="V128" s="707">
        <f t="shared" si="42"/>
        <v>49.001182348488172</v>
      </c>
      <c r="W128" s="707">
        <f t="shared" si="43"/>
        <v>90.232932834020886</v>
      </c>
      <c r="X128" s="636">
        <f t="shared" si="44"/>
        <v>1</v>
      </c>
      <c r="Y128" s="636">
        <f t="shared" si="45"/>
        <v>0</v>
      </c>
      <c r="Z128" s="637">
        <f t="shared" si="46"/>
        <v>49.001182348488172</v>
      </c>
      <c r="AA128" s="635">
        <f t="shared" si="47"/>
        <v>1.1573736437178546</v>
      </c>
      <c r="AB128" s="707">
        <f t="shared" si="48"/>
        <v>13.444134753206807</v>
      </c>
      <c r="AC128" s="644"/>
    </row>
    <row r="129" spans="1:29"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50"/>
        <v>0</v>
      </c>
      <c r="I129" s="27">
        <f t="shared" si="31"/>
        <v>2.2000000000000002</v>
      </c>
      <c r="J129" s="738">
        <f>IF(Weather_Site!M127&lt;180,Weather_Site!M127+180,Weather_Site!M127-180)</f>
        <v>349</v>
      </c>
      <c r="K129" s="635">
        <f t="shared" si="32"/>
        <v>5.4675899999999995</v>
      </c>
      <c r="L129" s="635">
        <f t="shared" si="33"/>
        <v>6.8159999999999998</v>
      </c>
      <c r="M129" s="635">
        <f t="shared" si="34"/>
        <v>6.9553100000000008</v>
      </c>
      <c r="N129" s="635">
        <f t="shared" si="35"/>
        <v>6.9553100000000008</v>
      </c>
      <c r="O129" s="636">
        <f t="shared" si="36"/>
        <v>0.78678758948431748</v>
      </c>
      <c r="P129" s="635">
        <f>IF($O$11,Weather_Site!H127,IF(0.191*(Weather_Site!K127+104)*(Weather_Site!J127+1)^1.5/(3.52*(Weather_Site!J127+1)^1.5+Weather_Site!I127-1)&gt;10, 10,0.191*(Weather_Site!K127+104)*(Weather_Site!J127+1)^1.5/(3.52*(Weather_Site!J127+1)^1.5+Weather_Site!I127-1)))</f>
        <v>9</v>
      </c>
      <c r="Q129" s="635">
        <f t="shared" si="37"/>
        <v>2.6816207039999975</v>
      </c>
      <c r="R129" s="636">
        <f t="shared" si="38"/>
        <v>0.10446232872371478</v>
      </c>
      <c r="S129" s="636">
        <f t="shared" si="39"/>
        <v>8.2189663808449928E-2</v>
      </c>
      <c r="T129" s="635">
        <f t="shared" si="40"/>
        <v>1</v>
      </c>
      <c r="U129" s="707">
        <f t="shared" si="41"/>
        <v>12.308204806895132</v>
      </c>
      <c r="V129" s="707">
        <f t="shared" si="42"/>
        <v>39.710478102557701</v>
      </c>
      <c r="W129" s="707">
        <f t="shared" si="43"/>
        <v>74.872816093643365</v>
      </c>
      <c r="X129" s="636">
        <f t="shared" si="44"/>
        <v>1</v>
      </c>
      <c r="Y129" s="636">
        <f t="shared" si="45"/>
        <v>0</v>
      </c>
      <c r="Z129" s="637">
        <f t="shared" si="46"/>
        <v>39.710478102557701</v>
      </c>
      <c r="AA129" s="635">
        <f t="shared" si="47"/>
        <v>0.99417455740538641</v>
      </c>
      <c r="AB129" s="707">
        <f t="shared" si="48"/>
        <v>11.596331650086935</v>
      </c>
      <c r="AC129" s="644"/>
    </row>
    <row r="130" spans="1:29"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50"/>
        <v>0</v>
      </c>
      <c r="I130" s="27">
        <f t="shared" si="31"/>
        <v>2</v>
      </c>
      <c r="J130" s="738">
        <f>IF(Weather_Site!M128&lt;180,Weather_Site!M128+180,Weather_Site!M128-180)</f>
        <v>333</v>
      </c>
      <c r="K130" s="635">
        <f t="shared" si="32"/>
        <v>5.5333300000000003</v>
      </c>
      <c r="L130" s="635">
        <f t="shared" si="33"/>
        <v>6.9094999999999995</v>
      </c>
      <c r="M130" s="635">
        <f t="shared" si="34"/>
        <v>7.0639700000000012</v>
      </c>
      <c r="N130" s="635">
        <f t="shared" si="35"/>
        <v>7.0639700000000012</v>
      </c>
      <c r="O130" s="636">
        <f t="shared" si="36"/>
        <v>0.77706702792080673</v>
      </c>
      <c r="P130" s="635">
        <f>IF($O$11,Weather_Site!H128,IF(0.191*(Weather_Site!K128+104)*(Weather_Site!J128+1)^1.5/(3.52*(Weather_Site!J128+1)^1.5+Weather_Site!I128-1)&gt;10, 10,0.191*(Weather_Site!K128+104)*(Weather_Site!J128+1)^1.5/(3.52*(Weather_Site!J128+1)^1.5+Weather_Site!I128-1)))</f>
        <v>9</v>
      </c>
      <c r="Q130" s="635">
        <f t="shared" si="37"/>
        <v>2.6816207039999975</v>
      </c>
      <c r="R130" s="636">
        <f t="shared" si="38"/>
        <v>0.10446232872371478</v>
      </c>
      <c r="S130" s="636">
        <f t="shared" si="39"/>
        <v>8.1174231311023359E-2</v>
      </c>
      <c r="T130" s="635">
        <f t="shared" si="40"/>
        <v>1</v>
      </c>
      <c r="U130" s="707">
        <f t="shared" si="41"/>
        <v>2.4352269393307009E-3</v>
      </c>
      <c r="V130" s="707">
        <f t="shared" si="42"/>
        <v>33.738590380992669</v>
      </c>
      <c r="W130" s="707">
        <f t="shared" si="43"/>
        <v>66.010780944587779</v>
      </c>
      <c r="X130" s="636">
        <f t="shared" si="44"/>
        <v>1</v>
      </c>
      <c r="Y130" s="636">
        <f t="shared" si="45"/>
        <v>0</v>
      </c>
      <c r="Z130" s="637">
        <f t="shared" si="46"/>
        <v>33.738590380992669</v>
      </c>
      <c r="AA130" s="635">
        <f t="shared" si="47"/>
        <v>0.88366981190130256</v>
      </c>
      <c r="AB130" s="707">
        <f t="shared" si="48"/>
        <v>10.530146810547025</v>
      </c>
      <c r="AC130" s="644"/>
    </row>
    <row r="131" spans="1:29"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50"/>
        <v>0</v>
      </c>
      <c r="I131" s="27">
        <f t="shared" si="31"/>
        <v>2.4</v>
      </c>
      <c r="J131" s="738">
        <f>IF(Weather_Site!M129&lt;180,Weather_Site!M129+180,Weather_Site!M129-180)</f>
        <v>332</v>
      </c>
      <c r="K131" s="635">
        <f t="shared" si="32"/>
        <v>5.76844</v>
      </c>
      <c r="L131" s="635">
        <f t="shared" si="33"/>
        <v>7.2553000000000001</v>
      </c>
      <c r="M131" s="635">
        <f t="shared" si="34"/>
        <v>7.4633600000000007</v>
      </c>
      <c r="N131" s="635">
        <f t="shared" si="35"/>
        <v>7.4633600000000007</v>
      </c>
      <c r="O131" s="636">
        <f t="shared" si="36"/>
        <v>0.74094819255897526</v>
      </c>
      <c r="P131" s="635">
        <f>IF($O$11,Weather_Site!H129,IF(0.191*(Weather_Site!K129+104)*(Weather_Site!J129+1)^1.5/(3.52*(Weather_Site!J129+1)^1.5+Weather_Site!I129-1)&gt;10, 10,0.191*(Weather_Site!K129+104)*(Weather_Site!J129+1)^1.5/(3.52*(Weather_Site!J129+1)^1.5+Weather_Site!I129-1)))</f>
        <v>9</v>
      </c>
      <c r="Q131" s="635">
        <f t="shared" si="37"/>
        <v>2.6816207039999975</v>
      </c>
      <c r="R131" s="636">
        <f t="shared" si="38"/>
        <v>0.10446232872371478</v>
      </c>
      <c r="S131" s="636">
        <f t="shared" si="39"/>
        <v>7.7401173658337985E-2</v>
      </c>
      <c r="T131" s="635">
        <f t="shared" si="40"/>
        <v>1</v>
      </c>
      <c r="U131" s="707">
        <f t="shared" si="41"/>
        <v>13.013763044676029</v>
      </c>
      <c r="V131" s="707">
        <f t="shared" si="42"/>
        <v>42.472981911367398</v>
      </c>
      <c r="W131" s="707">
        <f t="shared" si="43"/>
        <v>78.211617360846006</v>
      </c>
      <c r="X131" s="636">
        <f t="shared" si="44"/>
        <v>1</v>
      </c>
      <c r="Y131" s="636">
        <f t="shared" si="45"/>
        <v>0</v>
      </c>
      <c r="Z131" s="637">
        <f t="shared" si="46"/>
        <v>42.472981911367398</v>
      </c>
      <c r="AA131" s="635">
        <f t="shared" si="47"/>
        <v>1.0437098113035737</v>
      </c>
      <c r="AB131" s="707">
        <f t="shared" si="48"/>
        <v>11.653034984462082</v>
      </c>
      <c r="AC131" s="644"/>
    </row>
    <row r="132" spans="1:29"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50"/>
        <v>0</v>
      </c>
      <c r="I132" s="27">
        <f t="shared" si="31"/>
        <v>2.6</v>
      </c>
      <c r="J132" s="738">
        <f>IF(Weather_Site!M130&lt;180,Weather_Site!M130+180,Weather_Site!M130-180)</f>
        <v>331</v>
      </c>
      <c r="K132" s="635">
        <f t="shared" si="32"/>
        <v>6.0264800000000003</v>
      </c>
      <c r="L132" s="635">
        <f t="shared" si="33"/>
        <v>7.6304000000000016</v>
      </c>
      <c r="M132" s="635">
        <f t="shared" si="34"/>
        <v>7.8975199999999992</v>
      </c>
      <c r="N132" s="635">
        <f t="shared" si="35"/>
        <v>7.8975199999999992</v>
      </c>
      <c r="O132" s="636">
        <f t="shared" si="36"/>
        <v>0.70127386732099151</v>
      </c>
      <c r="P132" s="635">
        <f>IF($O$11,Weather_Site!H130,IF(0.191*(Weather_Site!K130+104)*(Weather_Site!J130+1)^1.5/(3.52*(Weather_Site!J130+1)^1.5+Weather_Site!I130-1)&gt;10, 10,0.191*(Weather_Site!K130+104)*(Weather_Site!J130+1)^1.5/(3.52*(Weather_Site!J130+1)^1.5+Weather_Site!I130-1)))</f>
        <v>9</v>
      </c>
      <c r="Q132" s="635">
        <f t="shared" si="37"/>
        <v>2.6816207039999975</v>
      </c>
      <c r="R132" s="636">
        <f t="shared" si="38"/>
        <v>0.10446232872371478</v>
      </c>
      <c r="S132" s="636">
        <f t="shared" si="39"/>
        <v>7.3256701253436154E-2</v>
      </c>
      <c r="T132" s="635">
        <f t="shared" si="40"/>
        <v>1</v>
      </c>
      <c r="U132" s="707">
        <f t="shared" si="41"/>
        <v>13.64925669068035</v>
      </c>
      <c r="V132" s="707">
        <f t="shared" si="42"/>
        <v>44.884452890463194</v>
      </c>
      <c r="W132" s="707">
        <f t="shared" si="43"/>
        <v>81.429633713489309</v>
      </c>
      <c r="X132" s="636">
        <f t="shared" si="44"/>
        <v>1</v>
      </c>
      <c r="Y132" s="636">
        <f t="shared" si="45"/>
        <v>0</v>
      </c>
      <c r="Z132" s="637">
        <f t="shared" si="46"/>
        <v>44.884452890463194</v>
      </c>
      <c r="AA132" s="635">
        <f t="shared" si="47"/>
        <v>1.0862245331991753</v>
      </c>
      <c r="AB132" s="707">
        <f t="shared" si="48"/>
        <v>11.612452884834727</v>
      </c>
      <c r="AC132" s="644"/>
    </row>
    <row r="133" spans="1:29"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50"/>
        <v>0</v>
      </c>
      <c r="I133" s="27">
        <f t="shared" si="31"/>
        <v>2.2000000000000002</v>
      </c>
      <c r="J133" s="738">
        <f>IF(Weather_Site!M131&lt;180,Weather_Site!M131+180,Weather_Site!M131-180)</f>
        <v>331</v>
      </c>
      <c r="K133" s="635">
        <f t="shared" si="32"/>
        <v>6.3607899999999988</v>
      </c>
      <c r="L133" s="635">
        <f t="shared" si="33"/>
        <v>8.1113999999999997</v>
      </c>
      <c r="M133" s="635">
        <f t="shared" si="34"/>
        <v>8.4553100000000008</v>
      </c>
      <c r="N133" s="635">
        <f t="shared" si="35"/>
        <v>8.4553100000000008</v>
      </c>
      <c r="O133" s="636">
        <f t="shared" si="36"/>
        <v>0.65027583416357315</v>
      </c>
      <c r="P133" s="635">
        <f>IF($O$11,Weather_Site!H131,IF(0.191*(Weather_Site!K131+104)*(Weather_Site!J131+1)^1.5/(3.52*(Weather_Site!J131+1)^1.5+Weather_Site!I131-1)&gt;10, 10,0.191*(Weather_Site!K131+104)*(Weather_Site!J131+1)^1.5/(3.52*(Weather_Site!J131+1)^1.5+Weather_Site!I131-1)))</f>
        <v>9</v>
      </c>
      <c r="Q133" s="635">
        <f t="shared" si="37"/>
        <v>2.6816207039999975</v>
      </c>
      <c r="R133" s="636">
        <f t="shared" si="38"/>
        <v>0.10446232872371478</v>
      </c>
      <c r="S133" s="636">
        <f t="shared" si="39"/>
        <v>6.7929327949483018E-2</v>
      </c>
      <c r="T133" s="635">
        <f t="shared" si="40"/>
        <v>1</v>
      </c>
      <c r="U133" s="707">
        <f t="shared" si="41"/>
        <v>10.172667000385326</v>
      </c>
      <c r="V133" s="707">
        <f t="shared" si="42"/>
        <v>32.820502786654245</v>
      </c>
      <c r="W133" s="707">
        <f t="shared" si="43"/>
        <v>61.881991521220115</v>
      </c>
      <c r="X133" s="636">
        <f t="shared" si="44"/>
        <v>1</v>
      </c>
      <c r="Y133" s="636">
        <f t="shared" si="45"/>
        <v>0</v>
      </c>
      <c r="Z133" s="637">
        <f t="shared" si="46"/>
        <v>32.820502786654245</v>
      </c>
      <c r="AA133" s="635">
        <f t="shared" si="47"/>
        <v>0.86621808557184199</v>
      </c>
      <c r="AB133" s="707">
        <f t="shared" si="48"/>
        <v>9.5843075536310725</v>
      </c>
      <c r="AC133" s="644"/>
    </row>
    <row r="134" spans="1:29"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50"/>
        <v>0</v>
      </c>
      <c r="I134" s="27">
        <f t="shared" si="31"/>
        <v>2</v>
      </c>
      <c r="J134" s="738">
        <f>IF(Weather_Site!M132&lt;180,Weather_Site!M132+180,Weather_Site!M132-180)</f>
        <v>329</v>
      </c>
      <c r="K134" s="635">
        <f t="shared" si="32"/>
        <v>6.6113499999999998</v>
      </c>
      <c r="L134" s="635">
        <f t="shared" si="33"/>
        <v>8.4685000000000006</v>
      </c>
      <c r="M134" s="635">
        <f t="shared" si="34"/>
        <v>8.8701500000000006</v>
      </c>
      <c r="N134" s="635">
        <f t="shared" si="35"/>
        <v>8.8701500000000006</v>
      </c>
      <c r="O134" s="636">
        <f t="shared" si="36"/>
        <v>0.61273700324488178</v>
      </c>
      <c r="P134" s="635">
        <f>IF($O$11,Weather_Site!H132,IF(0.191*(Weather_Site!K132+104)*(Weather_Site!J132+1)^1.5/(3.52*(Weather_Site!J132+1)^1.5+Weather_Site!I132-1)&gt;10, 10,0.191*(Weather_Site!K132+104)*(Weather_Site!J132+1)^1.5/(3.52*(Weather_Site!J132+1)^1.5+Weather_Site!I132-1)))</f>
        <v>9</v>
      </c>
      <c r="Q134" s="635">
        <f t="shared" si="37"/>
        <v>2.6816207039999975</v>
      </c>
      <c r="R134" s="636">
        <f t="shared" si="38"/>
        <v>0.10446232872371478</v>
      </c>
      <c r="S134" s="636">
        <f t="shared" si="39"/>
        <v>6.4007934254150731E-2</v>
      </c>
      <c r="T134" s="635">
        <f t="shared" si="40"/>
        <v>1</v>
      </c>
      <c r="U134" s="707">
        <f t="shared" si="41"/>
        <v>1.9202380276245219E-3</v>
      </c>
      <c r="V134" s="707">
        <f t="shared" si="42"/>
        <v>26.603731751519998</v>
      </c>
      <c r="W134" s="707">
        <f t="shared" si="43"/>
        <v>52.051170162328866</v>
      </c>
      <c r="X134" s="636">
        <f t="shared" si="44"/>
        <v>1</v>
      </c>
      <c r="Y134" s="636">
        <f t="shared" si="45"/>
        <v>0</v>
      </c>
      <c r="Z134" s="637">
        <f t="shared" si="46"/>
        <v>26.603731751519998</v>
      </c>
      <c r="AA134" s="635">
        <f t="shared" si="47"/>
        <v>0.74419666047573529</v>
      </c>
      <c r="AB134" s="707">
        <f t="shared" si="48"/>
        <v>8.3032870635205978</v>
      </c>
      <c r="AC134" s="644"/>
    </row>
    <row r="135" spans="1:29"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50"/>
        <v>0</v>
      </c>
      <c r="I135" s="27">
        <f t="shared" si="31"/>
        <v>2.2000000000000002</v>
      </c>
      <c r="J135" s="738">
        <f>IF(Weather_Site!M133&lt;180,Weather_Site!M133+180,Weather_Site!M133-180)</f>
        <v>325</v>
      </c>
      <c r="K135" s="635">
        <f t="shared" si="32"/>
        <v>6.6864399999999993</v>
      </c>
      <c r="L135" s="635">
        <f t="shared" si="33"/>
        <v>8.5845000000000002</v>
      </c>
      <c r="M135" s="635">
        <f t="shared" si="34"/>
        <v>9.0029600000000016</v>
      </c>
      <c r="N135" s="635">
        <f t="shared" si="35"/>
        <v>9.0029600000000016</v>
      </c>
      <c r="O135" s="636">
        <f t="shared" si="36"/>
        <v>0.60084282439116743</v>
      </c>
      <c r="P135" s="635">
        <f>IF($O$11,Weather_Site!H133,IF(0.191*(Weather_Site!K133+104)*(Weather_Site!J133+1)^1.5/(3.52*(Weather_Site!J133+1)^1.5+Weather_Site!I133-1)&gt;10, 10,0.191*(Weather_Site!K133+104)*(Weather_Site!J133+1)^1.5/(3.52*(Weather_Site!J133+1)^1.5+Weather_Site!I133-1)))</f>
        <v>9</v>
      </c>
      <c r="Q135" s="635">
        <f t="shared" si="37"/>
        <v>2.6816207039999975</v>
      </c>
      <c r="R135" s="636">
        <f t="shared" si="38"/>
        <v>0.10446232872371478</v>
      </c>
      <c r="S135" s="636">
        <f t="shared" si="39"/>
        <v>6.2765440632835359E-2</v>
      </c>
      <c r="T135" s="635">
        <f t="shared" si="40"/>
        <v>1</v>
      </c>
      <c r="U135" s="707">
        <f t="shared" si="41"/>
        <v>9.3993558594472724</v>
      </c>
      <c r="V135" s="707">
        <f t="shared" si="42"/>
        <v>30.325536574239464</v>
      </c>
      <c r="W135" s="707">
        <f t="shared" si="43"/>
        <v>57.177813800177923</v>
      </c>
      <c r="X135" s="636">
        <f t="shared" si="44"/>
        <v>1</v>
      </c>
      <c r="Y135" s="636">
        <f t="shared" si="45"/>
        <v>0</v>
      </c>
      <c r="Z135" s="637">
        <f t="shared" si="46"/>
        <v>30.325536574239464</v>
      </c>
      <c r="AA135" s="635">
        <f t="shared" si="47"/>
        <v>0.81809132407107987</v>
      </c>
      <c r="AB135" s="707">
        <f t="shared" si="48"/>
        <v>8.8557226300197005</v>
      </c>
      <c r="AC135" s="644"/>
    </row>
    <row r="136" spans="1:29"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50"/>
        <v>0</v>
      </c>
      <c r="I136" s="27">
        <f t="shared" si="31"/>
        <v>2.4</v>
      </c>
      <c r="J136" s="738">
        <f>IF(Weather_Site!M134&lt;180,Weather_Site!M134+180,Weather_Site!M134-180)</f>
        <v>322</v>
      </c>
      <c r="K136" s="635">
        <f t="shared" si="32"/>
        <v>7.0467299999999993</v>
      </c>
      <c r="L136" s="635">
        <f t="shared" si="33"/>
        <v>9.0891999999999999</v>
      </c>
      <c r="M136" s="635">
        <f t="shared" si="34"/>
        <v>9.5911699999999982</v>
      </c>
      <c r="N136" s="635">
        <f t="shared" si="35"/>
        <v>9.0891999999999999</v>
      </c>
      <c r="O136" s="636">
        <f t="shared" si="36"/>
        <v>0.54917852542179812</v>
      </c>
      <c r="P136" s="635">
        <f>IF($O$11,Weather_Site!H134,IF(0.191*(Weather_Site!K134+104)*(Weather_Site!J134+1)^1.5/(3.52*(Weather_Site!J134+1)^1.5+Weather_Site!I134-1)&gt;10, 10,0.191*(Weather_Site!K134+104)*(Weather_Site!J134+1)^1.5/(3.52*(Weather_Site!J134+1)^1.5+Weather_Site!I134-1)))</f>
        <v>9</v>
      </c>
      <c r="Q136" s="635">
        <f t="shared" si="37"/>
        <v>2.6816207039999975</v>
      </c>
      <c r="R136" s="636">
        <f t="shared" si="38"/>
        <v>0.10446232872371478</v>
      </c>
      <c r="S136" s="636">
        <f t="shared" si="39"/>
        <v>5.7368467650616831E-2</v>
      </c>
      <c r="T136" s="635">
        <f t="shared" si="40"/>
        <v>1</v>
      </c>
      <c r="U136" s="707">
        <f t="shared" si="41"/>
        <v>9.6455855764774299</v>
      </c>
      <c r="V136" s="707">
        <f t="shared" si="42"/>
        <v>31.480270564928734</v>
      </c>
      <c r="W136" s="707">
        <f t="shared" si="43"/>
        <v>57.969155096716932</v>
      </c>
      <c r="X136" s="636">
        <f t="shared" si="44"/>
        <v>1</v>
      </c>
      <c r="Y136" s="636">
        <f t="shared" si="45"/>
        <v>0</v>
      </c>
      <c r="Z136" s="637">
        <f t="shared" si="46"/>
        <v>31.480270564928734</v>
      </c>
      <c r="AA136" s="635">
        <f t="shared" si="47"/>
        <v>0.8404967719115386</v>
      </c>
      <c r="AB136" s="707">
        <f t="shared" si="48"/>
        <v>8.6370364807201305</v>
      </c>
      <c r="AC136" s="644"/>
    </row>
    <row r="137" spans="1:29"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50"/>
        <v>0</v>
      </c>
      <c r="I137" s="27">
        <f t="shared" si="31"/>
        <v>2.8</v>
      </c>
      <c r="J137" s="738">
        <f>IF(Weather_Site!M135&lt;180,Weather_Site!M135+180,Weather_Site!M135-180)</f>
        <v>321</v>
      </c>
      <c r="K137" s="635">
        <f t="shared" si="32"/>
        <v>6.8401599999999991</v>
      </c>
      <c r="L137" s="635">
        <f t="shared" si="33"/>
        <v>8.7861999999999991</v>
      </c>
      <c r="M137" s="635">
        <f t="shared" si="34"/>
        <v>9.2410399999999999</v>
      </c>
      <c r="N137" s="635">
        <f t="shared" si="35"/>
        <v>8.7861999999999991</v>
      </c>
      <c r="O137" s="636">
        <f t="shared" si="36"/>
        <v>0.57971417331009423</v>
      </c>
      <c r="P137" s="635">
        <f>IF($O$11,Weather_Site!H135,IF(0.191*(Weather_Site!K135+104)*(Weather_Site!J135+1)^1.5/(3.52*(Weather_Site!J135+1)^1.5+Weather_Site!I135-1)&gt;10, 10,0.191*(Weather_Site!K135+104)*(Weather_Site!J135+1)^1.5/(3.52*(Weather_Site!J135+1)^1.5+Weather_Site!I135-1)))</f>
        <v>9</v>
      </c>
      <c r="Q137" s="635">
        <f t="shared" si="37"/>
        <v>2.6816207039999975</v>
      </c>
      <c r="R137" s="636">
        <f t="shared" si="38"/>
        <v>0.10446232872371478</v>
      </c>
      <c r="S137" s="636">
        <f t="shared" si="39"/>
        <v>6.0558292538115621E-2</v>
      </c>
      <c r="T137" s="635">
        <f t="shared" si="40"/>
        <v>1</v>
      </c>
      <c r="U137" s="707">
        <f t="shared" si="41"/>
        <v>12.374521520985228</v>
      </c>
      <c r="V137" s="707">
        <f t="shared" si="42"/>
        <v>40.893880649661284</v>
      </c>
      <c r="W137" s="707">
        <f t="shared" si="43"/>
        <v>73.527485459138248</v>
      </c>
      <c r="X137" s="636">
        <f t="shared" si="44"/>
        <v>1</v>
      </c>
      <c r="Y137" s="636">
        <f t="shared" si="45"/>
        <v>0</v>
      </c>
      <c r="Z137" s="637">
        <f t="shared" si="46"/>
        <v>40.893880649661284</v>
      </c>
      <c r="AA137" s="635">
        <f t="shared" si="47"/>
        <v>1.0155076863736658</v>
      </c>
      <c r="AB137" s="707">
        <f t="shared" si="48"/>
        <v>10.009271747028903</v>
      </c>
      <c r="AC137" s="644"/>
    </row>
    <row r="138" spans="1:29"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50"/>
        <v>0</v>
      </c>
      <c r="I138" s="27">
        <f t="shared" si="31"/>
        <v>3.8</v>
      </c>
      <c r="J138" s="738">
        <f>IF(Weather_Site!M136&lt;180,Weather_Site!M136+180,Weather_Site!M136-180)</f>
        <v>318</v>
      </c>
      <c r="K138" s="635">
        <f t="shared" si="32"/>
        <v>6.2545999999999999</v>
      </c>
      <c r="L138" s="635">
        <f t="shared" si="33"/>
        <v>7.9335000000000004</v>
      </c>
      <c r="M138" s="635">
        <f t="shared" si="34"/>
        <v>8.2544000000000004</v>
      </c>
      <c r="N138" s="635">
        <f t="shared" si="35"/>
        <v>7.9335000000000004</v>
      </c>
      <c r="O138" s="636">
        <f t="shared" si="36"/>
        <v>0.66860613839444194</v>
      </c>
      <c r="P138" s="635">
        <f>IF($O$11,Weather_Site!H136,IF(0.191*(Weather_Site!K136+104)*(Weather_Site!J136+1)^1.5/(3.52*(Weather_Site!J136+1)^1.5+Weather_Site!I136-1)&gt;10, 10,0.191*(Weather_Site!K136+104)*(Weather_Site!J136+1)^1.5/(3.52*(Weather_Site!J136+1)^1.5+Weather_Site!I136-1)))</f>
        <v>9</v>
      </c>
      <c r="Q138" s="635">
        <f t="shared" si="37"/>
        <v>2.6816207039999975</v>
      </c>
      <c r="R138" s="636">
        <f t="shared" si="38"/>
        <v>0.10446232872371478</v>
      </c>
      <c r="S138" s="636">
        <f t="shared" si="39"/>
        <v>6.9844154215653723E-2</v>
      </c>
      <c r="T138" s="635">
        <f t="shared" si="40"/>
        <v>1</v>
      </c>
      <c r="U138" s="707">
        <f t="shared" si="41"/>
        <v>20.429799509545646</v>
      </c>
      <c r="V138" s="707">
        <f t="shared" si="42"/>
        <v>67.92860975813079</v>
      </c>
      <c r="W138" s="707">
        <f t="shared" si="43"/>
        <v>122.01137975879699</v>
      </c>
      <c r="X138" s="636">
        <f t="shared" si="44"/>
        <v>1</v>
      </c>
      <c r="Y138" s="636">
        <f t="shared" si="45"/>
        <v>0</v>
      </c>
      <c r="Z138" s="637">
        <f t="shared" si="46"/>
        <v>67.92860975813079</v>
      </c>
      <c r="AA138" s="635">
        <f t="shared" si="47"/>
        <v>1.4656435698011052</v>
      </c>
      <c r="AB138" s="707">
        <f t="shared" si="48"/>
        <v>13.094419338062067</v>
      </c>
      <c r="AC138" s="644"/>
    </row>
    <row r="139" spans="1:29"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50"/>
        <v>0</v>
      </c>
      <c r="I139" s="27">
        <f t="shared" si="31"/>
        <v>2.4</v>
      </c>
      <c r="J139" s="738">
        <f>IF(Weather_Site!M137&lt;180,Weather_Site!M137+180,Weather_Site!M137-180)</f>
        <v>316</v>
      </c>
      <c r="K139" s="635">
        <f t="shared" si="32"/>
        <v>5.7775899999999991</v>
      </c>
      <c r="L139" s="635">
        <f t="shared" si="33"/>
        <v>7.238500000000001</v>
      </c>
      <c r="M139" s="635">
        <f t="shared" si="34"/>
        <v>7.45031</v>
      </c>
      <c r="N139" s="635">
        <f t="shared" si="35"/>
        <v>7.238500000000001</v>
      </c>
      <c r="O139" s="636">
        <f t="shared" si="36"/>
        <v>0.74213593871036554</v>
      </c>
      <c r="P139" s="635">
        <f>IF($O$11,Weather_Site!H137,IF(0.191*(Weather_Site!K137+104)*(Weather_Site!J137+1)^1.5/(3.52*(Weather_Site!J137+1)^1.5+Weather_Site!I137-1)&gt;10, 10,0.191*(Weather_Site!K137+104)*(Weather_Site!J137+1)^1.5/(3.52*(Weather_Site!J137+1)^1.5+Weather_Site!I137-1)))</f>
        <v>9</v>
      </c>
      <c r="Q139" s="635">
        <f t="shared" si="37"/>
        <v>2.6816207039999975</v>
      </c>
      <c r="R139" s="636">
        <f t="shared" si="38"/>
        <v>0.10446232872371478</v>
      </c>
      <c r="S139" s="636">
        <f t="shared" si="39"/>
        <v>7.7525248387244852E-2</v>
      </c>
      <c r="T139" s="635">
        <f t="shared" si="40"/>
        <v>1</v>
      </c>
      <c r="U139" s="707">
        <f t="shared" si="41"/>
        <v>13.034624215708835</v>
      </c>
      <c r="V139" s="707">
        <f t="shared" si="42"/>
        <v>42.54106645669718</v>
      </c>
      <c r="W139" s="707">
        <f t="shared" si="43"/>
        <v>78.336991237788112</v>
      </c>
      <c r="X139" s="636">
        <f t="shared" si="44"/>
        <v>1</v>
      </c>
      <c r="Y139" s="636">
        <f t="shared" si="45"/>
        <v>0</v>
      </c>
      <c r="Z139" s="637">
        <f t="shared" si="46"/>
        <v>42.54106645669718</v>
      </c>
      <c r="AA139" s="635">
        <f t="shared" si="47"/>
        <v>1.044919176557084</v>
      </c>
      <c r="AB139" s="707">
        <f t="shared" si="48"/>
        <v>11.671714897030613</v>
      </c>
      <c r="AC139" s="644"/>
    </row>
    <row r="140" spans="1:29"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50"/>
        <v>0</v>
      </c>
      <c r="I140" s="27">
        <f t="shared" si="31"/>
        <v>3.2</v>
      </c>
      <c r="J140" s="738">
        <f>IF(Weather_Site!M138&lt;180,Weather_Site!M138+180,Weather_Site!M138-180)</f>
        <v>318</v>
      </c>
      <c r="K140" s="635">
        <f t="shared" si="32"/>
        <v>5.1337699999999993</v>
      </c>
      <c r="L140" s="635">
        <f t="shared" si="33"/>
        <v>6.3103000000000007</v>
      </c>
      <c r="M140" s="635">
        <f t="shared" si="34"/>
        <v>6.3743300000000005</v>
      </c>
      <c r="N140" s="635">
        <f t="shared" si="35"/>
        <v>6.3103000000000007</v>
      </c>
      <c r="O140" s="636">
        <f t="shared" si="36"/>
        <v>0.83760397640240403</v>
      </c>
      <c r="P140" s="635">
        <f>IF($O$11,Weather_Site!H138,IF(0.191*(Weather_Site!K138+104)*(Weather_Site!J138+1)^1.5/(3.52*(Weather_Site!J138+1)^1.5+Weather_Site!I138-1)&gt;10, 10,0.191*(Weather_Site!K138+104)*(Weather_Site!J138+1)^1.5/(3.52*(Weather_Site!J138+1)^1.5+Weather_Site!I138-1)))</f>
        <v>9</v>
      </c>
      <c r="Q140" s="635">
        <f t="shared" si="37"/>
        <v>2.6816207039999975</v>
      </c>
      <c r="R140" s="636">
        <f t="shared" si="38"/>
        <v>0.10446232872371478</v>
      </c>
      <c r="S140" s="636">
        <f t="shared" si="39"/>
        <v>8.7498061923238557E-2</v>
      </c>
      <c r="T140" s="635">
        <f t="shared" si="40"/>
        <v>1</v>
      </c>
      <c r="U140" s="707">
        <f t="shared" si="41"/>
        <v>20.995509936149848</v>
      </c>
      <c r="V140" s="707">
        <f t="shared" si="42"/>
        <v>69.733612754491347</v>
      </c>
      <c r="W140" s="707">
        <f t="shared" si="43"/>
        <v>124.55442824542111</v>
      </c>
      <c r="X140" s="636">
        <f t="shared" si="44"/>
        <v>1</v>
      </c>
      <c r="Y140" s="636">
        <f t="shared" si="45"/>
        <v>0</v>
      </c>
      <c r="Z140" s="637">
        <f t="shared" si="46"/>
        <v>69.733612754491347</v>
      </c>
      <c r="AA140" s="635">
        <f t="shared" si="47"/>
        <v>1.4936984544895311</v>
      </c>
      <c r="AB140" s="707">
        <f t="shared" si="48"/>
        <v>15.405976660147431</v>
      </c>
      <c r="AC140" s="644"/>
    </row>
    <row r="141" spans="1:29"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50"/>
        <v>0</v>
      </c>
      <c r="I141" s="27">
        <f t="shared" si="31"/>
        <v>2.6</v>
      </c>
      <c r="J141" s="738">
        <f>IF(Weather_Site!M139&lt;180,Weather_Site!M139+180,Weather_Site!M139-180)</f>
        <v>316</v>
      </c>
      <c r="K141" s="635">
        <f t="shared" si="32"/>
        <v>4.7510399999999997</v>
      </c>
      <c r="L141" s="635">
        <f t="shared" si="33"/>
        <v>5.7515999999999998</v>
      </c>
      <c r="M141" s="635">
        <f t="shared" si="34"/>
        <v>5.7281599999999999</v>
      </c>
      <c r="N141" s="635">
        <f t="shared" si="35"/>
        <v>5.7515999999999998</v>
      </c>
      <c r="O141" s="636">
        <f t="shared" si="36"/>
        <v>0.8908286353446585</v>
      </c>
      <c r="P141" s="635">
        <f>IF($O$11,Weather_Site!H139,IF(0.191*(Weather_Site!K139+104)*(Weather_Site!J139+1)^1.5/(3.52*(Weather_Site!J139+1)^1.5+Weather_Site!I139-1)&gt;10, 10,0.191*(Weather_Site!K139+104)*(Weather_Site!J139+1)^1.5/(3.52*(Weather_Site!J139+1)^1.5+Weather_Site!I139-1)))</f>
        <v>9</v>
      </c>
      <c r="Q141" s="635">
        <f t="shared" si="37"/>
        <v>2.6816207039999975</v>
      </c>
      <c r="R141" s="636">
        <f t="shared" si="38"/>
        <v>0.10446232872371478</v>
      </c>
      <c r="S141" s="636">
        <f t="shared" si="39"/>
        <v>9.3058033741871951E-2</v>
      </c>
      <c r="T141" s="635">
        <f t="shared" si="40"/>
        <v>1</v>
      </c>
      <c r="U141" s="707">
        <f t="shared" si="41"/>
        <v>17.338659370950385</v>
      </c>
      <c r="V141" s="707">
        <f t="shared" si="42"/>
        <v>57.0167487765533</v>
      </c>
      <c r="W141" s="707">
        <f t="shared" si="43"/>
        <v>103.44011499347612</v>
      </c>
      <c r="X141" s="636">
        <f t="shared" si="44"/>
        <v>1</v>
      </c>
      <c r="Y141" s="636">
        <f t="shared" si="45"/>
        <v>0</v>
      </c>
      <c r="Z141" s="637">
        <f t="shared" si="46"/>
        <v>57.0167487765533</v>
      </c>
      <c r="AA141" s="635">
        <f t="shared" si="47"/>
        <v>1.2913501479692087</v>
      </c>
      <c r="AB141" s="707">
        <f t="shared" si="48"/>
        <v>14.751306213534434</v>
      </c>
      <c r="AC141" s="644"/>
    </row>
    <row r="142" spans="1:29"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50"/>
        <v>0</v>
      </c>
      <c r="I142" s="27">
        <f t="shared" si="31"/>
        <v>2.6</v>
      </c>
      <c r="J142" s="738">
        <f>IF(Weather_Site!M140&lt;180,Weather_Site!M140+180,Weather_Site!M140-180)</f>
        <v>321</v>
      </c>
      <c r="K142" s="635">
        <f t="shared" si="32"/>
        <v>4.3664399999999999</v>
      </c>
      <c r="L142" s="635">
        <f t="shared" si="33"/>
        <v>5.1884000000000006</v>
      </c>
      <c r="M142" s="635">
        <f t="shared" si="34"/>
        <v>5.0771600000000001</v>
      </c>
      <c r="N142" s="635">
        <f t="shared" si="35"/>
        <v>5.1884000000000006</v>
      </c>
      <c r="O142" s="636">
        <f t="shared" si="36"/>
        <v>0.93933172311760371</v>
      </c>
      <c r="P142" s="635">
        <f>IF($O$11,Weather_Site!H140,IF(0.191*(Weather_Site!K140+104)*(Weather_Site!J140+1)^1.5/(3.52*(Weather_Site!J140+1)^1.5+Weather_Site!I140-1)&gt;10, 10,0.191*(Weather_Site!K140+104)*(Weather_Site!J140+1)^1.5/(3.52*(Weather_Site!J140+1)^1.5+Weather_Site!I140-1)))</f>
        <v>9</v>
      </c>
      <c r="Q142" s="635">
        <f t="shared" si="37"/>
        <v>2.6816207039999975</v>
      </c>
      <c r="R142" s="636">
        <f t="shared" si="38"/>
        <v>0.10446232872371478</v>
      </c>
      <c r="S142" s="636">
        <f t="shared" si="39"/>
        <v>9.8124779240924553E-2</v>
      </c>
      <c r="T142" s="635">
        <f t="shared" si="40"/>
        <v>1</v>
      </c>
      <c r="U142" s="707">
        <f t="shared" si="41"/>
        <v>18.282700103328768</v>
      </c>
      <c r="V142" s="707">
        <f t="shared" si="42"/>
        <v>60.12114872589617</v>
      </c>
      <c r="W142" s="707">
        <f t="shared" si="43"/>
        <v>109.07213531445626</v>
      </c>
      <c r="X142" s="636">
        <f t="shared" si="44"/>
        <v>1</v>
      </c>
      <c r="Y142" s="636">
        <f t="shared" si="45"/>
        <v>0</v>
      </c>
      <c r="Z142" s="637">
        <f t="shared" si="46"/>
        <v>60.12114872589617</v>
      </c>
      <c r="AA142" s="635">
        <f t="shared" si="47"/>
        <v>1.3418098080299945</v>
      </c>
      <c r="AB142" s="707">
        <f t="shared" si="48"/>
        <v>15.554472918838913</v>
      </c>
      <c r="AC142" s="644"/>
    </row>
    <row r="143" spans="1:29"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50"/>
        <v>0</v>
      </c>
      <c r="I143" s="27">
        <f t="shared" ref="I143:I179" si="51">G143/$O$10</f>
        <v>2.6</v>
      </c>
      <c r="J143" s="738">
        <f>IF(Weather_Site!M141&lt;180,Weather_Site!M141+180,Weather_Site!M141-180)</f>
        <v>325</v>
      </c>
      <c r="K143" s="635">
        <f t="shared" ref="K143:K179" si="52">2.76+0.124*E143-0.0187*D143</f>
        <v>4.04758</v>
      </c>
      <c r="L143" s="635">
        <f t="shared" ref="L143:L179" si="53">3.6+0.169*E143-0.045*D143</f>
        <v>4.7187000000000001</v>
      </c>
      <c r="M143" s="635">
        <f t="shared" ref="M143:M179" si="54">3.08+0.198*E143-0.0483*D143</f>
        <v>4.5348200000000007</v>
      </c>
      <c r="N143" s="635">
        <f t="shared" ref="N143:N179" si="55">IF(AND(OR(MONTH(B143)&gt;10,MONTH(B143)&lt;3),AND(HOUR(C143)&gt;=13,HOUR(C143)&lt;=17)),K143,IF(OR(HOUR(C143)&lt;6,HOUR(C143)&gt;=20),M143,L143))</f>
        <v>4.04758</v>
      </c>
      <c r="O143" s="636">
        <f t="shared" ref="O143:O179" si="56">IF(M143&lt;=4.1,1,IF(M143&gt;=24,0,(0.9082+0.1206*M143-0.03106*M143^2+0.001853*M143^3-0.00003467*M143^4)))</f>
        <v>0.97450573422082198</v>
      </c>
      <c r="P143" s="635">
        <f>IF($O$11,Weather_Site!H141,IF(0.191*(Weather_Site!K141+104)*(Weather_Site!J141+1)^1.5/(3.52*(Weather_Site!J141+1)^1.5+Weather_Site!I141-1)&gt;10, 10,0.191*(Weather_Site!K141+104)*(Weather_Site!J141+1)^1.5/(3.52*(Weather_Site!J141+1)^1.5+Weather_Site!I141-1)))</f>
        <v>9.1</v>
      </c>
      <c r="Q143" s="635">
        <f t="shared" ref="Q143:Q179" si="57">P143*(MAX($S$9+$S$10,0)/10)</f>
        <v>2.7114164895999977</v>
      </c>
      <c r="R143" s="636">
        <f t="shared" ref="R143:R179" si="58">1.008/(1+104.9*EXP(-0.9306*Q143))</f>
        <v>0.10708736132514535</v>
      </c>
      <c r="S143" s="636">
        <f t="shared" ref="S143:S179" si="59">O143*R143</f>
        <v>0.10435724767393122</v>
      </c>
      <c r="T143" s="635">
        <f t="shared" ref="T143:T179" si="60">MIN(IF(H143&gt;0,2^(H143/10),(2^(-H143/10))/(2*(2^(-H143/10))-1)),4)</f>
        <v>1</v>
      </c>
      <c r="U143" s="707">
        <f t="shared" ref="U143:U179" si="61">IF(I143&gt;2,(0.03+0.05024*(I143-1)^0.92628*(($E$6+$E$7)/10)^0.79928)*1000*S143*T143,0.03*S143*T143)</f>
        <v>19.443939416635686</v>
      </c>
      <c r="V143" s="707">
        <f t="shared" ref="V143:V179" si="62">(0.19591*(I143-1)^0.82569*(($E$6+$E$7)/10)^0.46722)*$C$10^0.495*1000*S143*T143</f>
        <v>63.939788263114821</v>
      </c>
      <c r="W143" s="707">
        <f t="shared" ref="W143:W179" si="63">(0.05235*(G143)^1.19128)*1000*S143*T143</f>
        <v>115.99993322163833</v>
      </c>
      <c r="X143" s="636">
        <f t="shared" ref="X143:X179" si="64">IF((E$6+E$7)&lt;1,0,1/(1+EXP(-(-23.9315+1.7033*I143+12.0822*S143+9.5236*($E$6+$E$7)))))</f>
        <v>1</v>
      </c>
      <c r="Y143" s="636">
        <f t="shared" ref="Y143:Y179" si="65">IF(V143&lt;300,0,1/(1+EXP(-(-32.3074+0.2951*G143+26.8734*S143))))</f>
        <v>0</v>
      </c>
      <c r="Z143" s="637">
        <f t="shared" ref="Z143:Z179" si="66">IF(X143&lt;0.5,(U143*(1-X143)+V143*X143),(U143*(1-X143)+V143*X143*(1-Y143)+W143*Y143))</f>
        <v>63.939788263114821</v>
      </c>
      <c r="AA143" s="635">
        <f t="shared" ref="AA143:AA179" si="67">0.0193*Z143^0.723*EXP(0.64*$C$10)</f>
        <v>1.402900335038048</v>
      </c>
      <c r="AB143" s="707">
        <f t="shared" ref="AB143:AB179" si="68">(1/(0.2204*G143+1))*Z143</f>
        <v>16.542426850645455</v>
      </c>
      <c r="AC143" s="644"/>
    </row>
    <row r="144" spans="1:29"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50"/>
        <v>0</v>
      </c>
      <c r="I144" s="27">
        <f t="shared" si="51"/>
        <v>2.6</v>
      </c>
      <c r="J144" s="738">
        <f>IF(Weather_Site!M142&lt;180,Weather_Site!M142+180,Weather_Site!M142-180)</f>
        <v>330</v>
      </c>
      <c r="K144" s="635">
        <f t="shared" si="52"/>
        <v>3.7801899999999997</v>
      </c>
      <c r="L144" s="635">
        <f t="shared" si="53"/>
        <v>4.3211000000000004</v>
      </c>
      <c r="M144" s="635">
        <f t="shared" si="54"/>
        <v>4.0765099999999999</v>
      </c>
      <c r="N144" s="635">
        <f t="shared" si="55"/>
        <v>3.7801899999999997</v>
      </c>
      <c r="O144" s="636">
        <f t="shared" si="56"/>
        <v>1</v>
      </c>
      <c r="P144" s="635">
        <f>IF($O$11,Weather_Site!H142,IF(0.191*(Weather_Site!K142+104)*(Weather_Site!J142+1)^1.5/(3.52*(Weather_Site!J142+1)^1.5+Weather_Site!I142-1)&gt;10, 10,0.191*(Weather_Site!K142+104)*(Weather_Site!J142+1)^1.5/(3.52*(Weather_Site!J142+1)^1.5+Weather_Site!I142-1)))</f>
        <v>9.1</v>
      </c>
      <c r="Q144" s="635">
        <f t="shared" si="57"/>
        <v>2.7114164895999977</v>
      </c>
      <c r="R144" s="636">
        <f t="shared" si="58"/>
        <v>0.10708736132514535</v>
      </c>
      <c r="S144" s="636">
        <f t="shared" si="59"/>
        <v>0.10708736132514535</v>
      </c>
      <c r="T144" s="635">
        <f t="shared" si="60"/>
        <v>1</v>
      </c>
      <c r="U144" s="707">
        <f t="shared" si="61"/>
        <v>19.952616730554517</v>
      </c>
      <c r="V144" s="707">
        <f t="shared" si="62"/>
        <v>65.612531581703479</v>
      </c>
      <c r="W144" s="707">
        <f t="shared" si="63"/>
        <v>119.03463381299393</v>
      </c>
      <c r="X144" s="636">
        <f t="shared" si="64"/>
        <v>1</v>
      </c>
      <c r="Y144" s="636">
        <f t="shared" si="65"/>
        <v>0</v>
      </c>
      <c r="Z144" s="637">
        <f t="shared" si="66"/>
        <v>65.612531581703479</v>
      </c>
      <c r="AA144" s="635">
        <f t="shared" si="67"/>
        <v>1.4293404966708987</v>
      </c>
      <c r="AB144" s="707">
        <f t="shared" si="68"/>
        <v>16.975197035522992</v>
      </c>
      <c r="AC144" s="644"/>
    </row>
    <row r="145" spans="1:29"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50"/>
        <v>0</v>
      </c>
      <c r="I145" s="27">
        <f t="shared" si="51"/>
        <v>2.2000000000000002</v>
      </c>
      <c r="J145" s="738">
        <f>IF(Weather_Site!M143&lt;180,Weather_Site!M143+180,Weather_Site!M143-180)</f>
        <v>334</v>
      </c>
      <c r="K145" s="635">
        <f t="shared" si="52"/>
        <v>3.59842</v>
      </c>
      <c r="L145" s="635">
        <f t="shared" si="53"/>
        <v>4.0518999999999998</v>
      </c>
      <c r="M145" s="635">
        <f t="shared" si="54"/>
        <v>3.7659799999999994</v>
      </c>
      <c r="N145" s="635">
        <f t="shared" si="55"/>
        <v>3.59842</v>
      </c>
      <c r="O145" s="636">
        <f t="shared" si="56"/>
        <v>1</v>
      </c>
      <c r="P145" s="635">
        <f>IF($O$11,Weather_Site!H143,IF(0.191*(Weather_Site!K143+104)*(Weather_Site!J143+1)^1.5/(3.52*(Weather_Site!J143+1)^1.5+Weather_Site!I143-1)&gt;10, 10,0.191*(Weather_Site!K143+104)*(Weather_Site!J143+1)^1.5/(3.52*(Weather_Site!J143+1)^1.5+Weather_Site!I143-1)))</f>
        <v>9.1</v>
      </c>
      <c r="Q145" s="635">
        <f t="shared" si="57"/>
        <v>2.7114164895999977</v>
      </c>
      <c r="R145" s="636">
        <f t="shared" si="58"/>
        <v>0.10708736132514535</v>
      </c>
      <c r="S145" s="636">
        <f t="shared" si="59"/>
        <v>0.10708736132514535</v>
      </c>
      <c r="T145" s="635">
        <f t="shared" si="60"/>
        <v>1</v>
      </c>
      <c r="U145" s="707">
        <f t="shared" si="61"/>
        <v>16.036726692199473</v>
      </c>
      <c r="V145" s="707">
        <f t="shared" si="62"/>
        <v>51.739964855844434</v>
      </c>
      <c r="W145" s="707">
        <f t="shared" si="63"/>
        <v>97.554022475838622</v>
      </c>
      <c r="X145" s="636">
        <f t="shared" si="64"/>
        <v>1</v>
      </c>
      <c r="Y145" s="636">
        <f t="shared" si="65"/>
        <v>0</v>
      </c>
      <c r="Z145" s="637">
        <f t="shared" si="66"/>
        <v>51.739964855844434</v>
      </c>
      <c r="AA145" s="635">
        <f t="shared" si="67"/>
        <v>1.2037894625810717</v>
      </c>
      <c r="AB145" s="707">
        <f t="shared" si="68"/>
        <v>15.109205950194029</v>
      </c>
      <c r="AC145" s="644"/>
    </row>
    <row r="146" spans="1:29"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50"/>
        <v>0</v>
      </c>
      <c r="I146" s="27">
        <f t="shared" si="51"/>
        <v>2.4</v>
      </c>
      <c r="J146" s="738">
        <f>IF(Weather_Site!M144&lt;180,Weather_Site!M144+180,Weather_Site!M144-180)</f>
        <v>339</v>
      </c>
      <c r="K146" s="635">
        <f t="shared" si="52"/>
        <v>3.4985299999999997</v>
      </c>
      <c r="L146" s="635">
        <f t="shared" si="53"/>
        <v>3.9020999999999999</v>
      </c>
      <c r="M146" s="635">
        <f t="shared" si="54"/>
        <v>3.5935699999999997</v>
      </c>
      <c r="N146" s="635">
        <f t="shared" si="55"/>
        <v>3.4985299999999997</v>
      </c>
      <c r="O146" s="636">
        <f t="shared" si="56"/>
        <v>1</v>
      </c>
      <c r="P146" s="635">
        <f>IF($O$11,Weather_Site!H144,IF(0.191*(Weather_Site!K144+104)*(Weather_Site!J144+1)^1.5/(3.52*(Weather_Site!J144+1)^1.5+Weather_Site!I144-1)&gt;10, 10,0.191*(Weather_Site!K144+104)*(Weather_Site!J144+1)^1.5/(3.52*(Weather_Site!J144+1)^1.5+Weather_Site!I144-1)))</f>
        <v>9.1</v>
      </c>
      <c r="Q146" s="635">
        <f t="shared" si="57"/>
        <v>2.7114164895999977</v>
      </c>
      <c r="R146" s="636">
        <f t="shared" si="58"/>
        <v>0.10708736132514535</v>
      </c>
      <c r="S146" s="636">
        <f t="shared" si="59"/>
        <v>0.10708736132514535</v>
      </c>
      <c r="T146" s="635">
        <f t="shared" si="60"/>
        <v>1</v>
      </c>
      <c r="U146" s="707">
        <f t="shared" si="61"/>
        <v>18.00501826389192</v>
      </c>
      <c r="V146" s="707">
        <f t="shared" si="62"/>
        <v>58.762927556835557</v>
      </c>
      <c r="W146" s="707">
        <f t="shared" si="63"/>
        <v>108.20863989886909</v>
      </c>
      <c r="X146" s="636">
        <f t="shared" si="64"/>
        <v>1</v>
      </c>
      <c r="Y146" s="636">
        <f t="shared" si="65"/>
        <v>0</v>
      </c>
      <c r="Z146" s="637">
        <f t="shared" si="66"/>
        <v>58.762927556835557</v>
      </c>
      <c r="AA146" s="635">
        <f t="shared" si="67"/>
        <v>1.3198240002038117</v>
      </c>
      <c r="AB146" s="707">
        <f t="shared" si="68"/>
        <v>16.122401107560236</v>
      </c>
      <c r="AC146" s="644"/>
    </row>
    <row r="147" spans="1:29"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si="50"/>
        <v>0</v>
      </c>
      <c r="I147" s="27">
        <f t="shared" si="51"/>
        <v>2.2000000000000002</v>
      </c>
      <c r="J147" s="738">
        <f>IF(Weather_Site!M145&lt;180,Weather_Site!M145+180,Weather_Site!M145-180)</f>
        <v>344</v>
      </c>
      <c r="K147" s="635">
        <f t="shared" si="52"/>
        <v>3.4147799999999995</v>
      </c>
      <c r="L147" s="635">
        <f t="shared" si="53"/>
        <v>3.7782</v>
      </c>
      <c r="M147" s="635">
        <f t="shared" si="54"/>
        <v>3.4506200000000007</v>
      </c>
      <c r="N147" s="635">
        <f t="shared" si="55"/>
        <v>3.4147799999999995</v>
      </c>
      <c r="O147" s="636">
        <f t="shared" si="56"/>
        <v>1</v>
      </c>
      <c r="P147" s="635">
        <f>IF($O$11,Weather_Site!H145,IF(0.191*(Weather_Site!K145+104)*(Weather_Site!J145+1)^1.5/(3.52*(Weather_Site!J145+1)^1.5+Weather_Site!I145-1)&gt;10, 10,0.191*(Weather_Site!K145+104)*(Weather_Site!J145+1)^1.5/(3.52*(Weather_Site!J145+1)^1.5+Weather_Site!I145-1)))</f>
        <v>9.1</v>
      </c>
      <c r="Q147" s="635">
        <f t="shared" si="57"/>
        <v>2.7114164895999977</v>
      </c>
      <c r="R147" s="636">
        <f t="shared" si="58"/>
        <v>0.10708736132514535</v>
      </c>
      <c r="S147" s="636">
        <f t="shared" si="59"/>
        <v>0.10708736132514535</v>
      </c>
      <c r="T147" s="635">
        <f t="shared" si="60"/>
        <v>1</v>
      </c>
      <c r="U147" s="707">
        <f t="shared" si="61"/>
        <v>16.036726692199473</v>
      </c>
      <c r="V147" s="707">
        <f t="shared" si="62"/>
        <v>51.739964855844434</v>
      </c>
      <c r="W147" s="707">
        <f t="shared" si="63"/>
        <v>97.554022475838622</v>
      </c>
      <c r="X147" s="636">
        <f t="shared" si="64"/>
        <v>1</v>
      </c>
      <c r="Y147" s="636">
        <f t="shared" si="65"/>
        <v>0</v>
      </c>
      <c r="Z147" s="637">
        <f t="shared" si="66"/>
        <v>51.739964855844434</v>
      </c>
      <c r="AA147" s="635">
        <f t="shared" si="67"/>
        <v>1.2037894625810717</v>
      </c>
      <c r="AB147" s="707">
        <f t="shared" si="68"/>
        <v>15.109205950194029</v>
      </c>
      <c r="AC147" s="644"/>
    </row>
    <row r="148" spans="1:29"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ref="H148:H179" si="69">C$4</f>
        <v>0</v>
      </c>
      <c r="I148" s="27">
        <f t="shared" si="51"/>
        <v>2.4</v>
      </c>
      <c r="J148" s="738">
        <f>IF(Weather_Site!M146&lt;180,Weather_Site!M146+180,Weather_Site!M146-180)</f>
        <v>337</v>
      </c>
      <c r="K148" s="635">
        <f t="shared" si="52"/>
        <v>3.488</v>
      </c>
      <c r="L148" s="635">
        <f t="shared" si="53"/>
        <v>3.8897000000000004</v>
      </c>
      <c r="M148" s="635">
        <f t="shared" si="54"/>
        <v>3.5785999999999998</v>
      </c>
      <c r="N148" s="635">
        <f t="shared" si="55"/>
        <v>3.8897000000000004</v>
      </c>
      <c r="O148" s="636">
        <f t="shared" si="56"/>
        <v>1</v>
      </c>
      <c r="P148" s="635">
        <f>IF($O$11,Weather_Site!H146,IF(0.191*(Weather_Site!K146+104)*(Weather_Site!J146+1)^1.5/(3.52*(Weather_Site!J146+1)^1.5+Weather_Site!I146-1)&gt;10, 10,0.191*(Weather_Site!K146+104)*(Weather_Site!J146+1)^1.5/(3.52*(Weather_Site!J146+1)^1.5+Weather_Site!I146-1)))</f>
        <v>9.1</v>
      </c>
      <c r="Q148" s="635">
        <f t="shared" si="57"/>
        <v>2.7114164895999977</v>
      </c>
      <c r="R148" s="636">
        <f t="shared" si="58"/>
        <v>0.10708736132514535</v>
      </c>
      <c r="S148" s="636">
        <f t="shared" si="59"/>
        <v>0.10708736132514535</v>
      </c>
      <c r="T148" s="635">
        <f t="shared" si="60"/>
        <v>1</v>
      </c>
      <c r="U148" s="707">
        <f t="shared" si="61"/>
        <v>18.00501826389192</v>
      </c>
      <c r="V148" s="707">
        <f t="shared" si="62"/>
        <v>58.762927556835557</v>
      </c>
      <c r="W148" s="707">
        <f t="shared" si="63"/>
        <v>108.20863989886909</v>
      </c>
      <c r="X148" s="636">
        <f t="shared" si="64"/>
        <v>1</v>
      </c>
      <c r="Y148" s="636">
        <f t="shared" si="65"/>
        <v>0</v>
      </c>
      <c r="Z148" s="637">
        <f t="shared" si="66"/>
        <v>58.762927556835557</v>
      </c>
      <c r="AA148" s="635">
        <f t="shared" si="67"/>
        <v>1.3198240002038117</v>
      </c>
      <c r="AB148" s="707">
        <f t="shared" si="68"/>
        <v>16.122401107560236</v>
      </c>
      <c r="AC148" s="644"/>
    </row>
    <row r="149" spans="1:29"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69"/>
        <v>0</v>
      </c>
      <c r="I149" s="27">
        <f t="shared" si="51"/>
        <v>2.2000000000000002</v>
      </c>
      <c r="J149" s="738">
        <f>IF(Weather_Site!M147&lt;180,Weather_Site!M147+180,Weather_Site!M147-180)</f>
        <v>334</v>
      </c>
      <c r="K149" s="635">
        <f t="shared" si="52"/>
        <v>3.5221499999999999</v>
      </c>
      <c r="L149" s="635">
        <f t="shared" si="53"/>
        <v>3.9459999999999997</v>
      </c>
      <c r="M149" s="635">
        <f t="shared" si="54"/>
        <v>3.6423500000000004</v>
      </c>
      <c r="N149" s="635">
        <f t="shared" si="55"/>
        <v>3.9459999999999997</v>
      </c>
      <c r="O149" s="636">
        <f t="shared" si="56"/>
        <v>1</v>
      </c>
      <c r="P149" s="635">
        <f>IF($O$11,Weather_Site!H147,IF(0.191*(Weather_Site!K147+104)*(Weather_Site!J147+1)^1.5/(3.52*(Weather_Site!J147+1)^1.5+Weather_Site!I147-1)&gt;10, 10,0.191*(Weather_Site!K147+104)*(Weather_Site!J147+1)^1.5/(3.52*(Weather_Site!J147+1)^1.5+Weather_Site!I147-1)))</f>
        <v>9.1</v>
      </c>
      <c r="Q149" s="635">
        <f t="shared" si="57"/>
        <v>2.7114164895999977</v>
      </c>
      <c r="R149" s="636">
        <f t="shared" si="58"/>
        <v>0.10708736132514535</v>
      </c>
      <c r="S149" s="636">
        <f t="shared" si="59"/>
        <v>0.10708736132514535</v>
      </c>
      <c r="T149" s="635">
        <f t="shared" si="60"/>
        <v>1</v>
      </c>
      <c r="U149" s="707">
        <f t="shared" si="61"/>
        <v>16.036726692199473</v>
      </c>
      <c r="V149" s="707">
        <f t="shared" si="62"/>
        <v>51.739964855844434</v>
      </c>
      <c r="W149" s="707">
        <f t="shared" si="63"/>
        <v>97.554022475838622</v>
      </c>
      <c r="X149" s="636">
        <f t="shared" si="64"/>
        <v>1</v>
      </c>
      <c r="Y149" s="636">
        <f t="shared" si="65"/>
        <v>0</v>
      </c>
      <c r="Z149" s="637">
        <f t="shared" si="66"/>
        <v>51.739964855844434</v>
      </c>
      <c r="AA149" s="635">
        <f t="shared" si="67"/>
        <v>1.2037894625810717</v>
      </c>
      <c r="AB149" s="707">
        <f t="shared" si="68"/>
        <v>15.109205950194029</v>
      </c>
      <c r="AC149" s="644"/>
    </row>
    <row r="150" spans="1:29"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69"/>
        <v>0</v>
      </c>
      <c r="I150" s="27">
        <f t="shared" si="51"/>
        <v>1.8</v>
      </c>
      <c r="J150" s="738">
        <f>IF(Weather_Site!M148&lt;180,Weather_Site!M148+180,Weather_Site!M148-180)</f>
        <v>332</v>
      </c>
      <c r="K150" s="635">
        <f t="shared" si="52"/>
        <v>3.6865999999999999</v>
      </c>
      <c r="L150" s="635">
        <f t="shared" si="53"/>
        <v>4.1993999999999998</v>
      </c>
      <c r="M150" s="635">
        <f t="shared" si="54"/>
        <v>3.9325999999999999</v>
      </c>
      <c r="N150" s="635">
        <f t="shared" si="55"/>
        <v>3.9325999999999999</v>
      </c>
      <c r="O150" s="636">
        <f t="shared" si="56"/>
        <v>1</v>
      </c>
      <c r="P150" s="635">
        <f>IF($O$11,Weather_Site!H148,IF(0.191*(Weather_Site!K148+104)*(Weather_Site!J148+1)^1.5/(3.52*(Weather_Site!J148+1)^1.5+Weather_Site!I148-1)&gt;10, 10,0.191*(Weather_Site!K148+104)*(Weather_Site!J148+1)^1.5/(3.52*(Weather_Site!J148+1)^1.5+Weather_Site!I148-1)))</f>
        <v>9.1</v>
      </c>
      <c r="Q150" s="635">
        <f t="shared" si="57"/>
        <v>2.7114164895999977</v>
      </c>
      <c r="R150" s="636">
        <f t="shared" si="58"/>
        <v>0.10708736132514535</v>
      </c>
      <c r="S150" s="636">
        <f t="shared" si="59"/>
        <v>0.10708736132514535</v>
      </c>
      <c r="T150" s="635">
        <f t="shared" si="60"/>
        <v>1</v>
      </c>
      <c r="U150" s="707">
        <f t="shared" si="61"/>
        <v>3.2126208397543605E-3</v>
      </c>
      <c r="V150" s="707">
        <f t="shared" si="62"/>
        <v>37.019396773384429</v>
      </c>
      <c r="W150" s="707">
        <f t="shared" si="63"/>
        <v>76.811265465507049</v>
      </c>
      <c r="X150" s="636">
        <f t="shared" si="64"/>
        <v>1</v>
      </c>
      <c r="Y150" s="636">
        <f t="shared" si="65"/>
        <v>0</v>
      </c>
      <c r="Z150" s="637">
        <f t="shared" si="66"/>
        <v>37.019396773384429</v>
      </c>
      <c r="AA150" s="635">
        <f t="shared" si="67"/>
        <v>0.94499314252009281</v>
      </c>
      <c r="AB150" s="707">
        <f t="shared" si="68"/>
        <v>12.407627286963544</v>
      </c>
      <c r="AC150" s="644"/>
    </row>
    <row r="151" spans="1:29"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69"/>
        <v>0</v>
      </c>
      <c r="I151" s="27">
        <f t="shared" si="51"/>
        <v>1.6</v>
      </c>
      <c r="J151" s="738">
        <f>IF(Weather_Site!M149&lt;180,Weather_Site!M149+180,Weather_Site!M149-180)</f>
        <v>330</v>
      </c>
      <c r="K151" s="635">
        <f t="shared" si="52"/>
        <v>4.2052399999999999</v>
      </c>
      <c r="L151" s="635">
        <f t="shared" si="53"/>
        <v>4.9687000000000001</v>
      </c>
      <c r="M151" s="635">
        <f t="shared" si="54"/>
        <v>4.8197600000000005</v>
      </c>
      <c r="N151" s="635">
        <f t="shared" si="55"/>
        <v>4.8197600000000005</v>
      </c>
      <c r="O151" s="636">
        <f t="shared" si="56"/>
        <v>0.95669561582907869</v>
      </c>
      <c r="P151" s="635">
        <f>IF($O$11,Weather_Site!H149,IF(0.191*(Weather_Site!K149+104)*(Weather_Site!J149+1)^1.5/(3.52*(Weather_Site!J149+1)^1.5+Weather_Site!I149-1)&gt;10, 10,0.191*(Weather_Site!K149+104)*(Weather_Site!J149+1)^1.5/(3.52*(Weather_Site!J149+1)^1.5+Weather_Site!I149-1)))</f>
        <v>9.1</v>
      </c>
      <c r="Q151" s="635">
        <f t="shared" si="57"/>
        <v>2.7114164895999977</v>
      </c>
      <c r="R151" s="636">
        <f t="shared" si="58"/>
        <v>0.10708736132514535</v>
      </c>
      <c r="S151" s="636">
        <f t="shared" si="59"/>
        <v>0.10245000909047099</v>
      </c>
      <c r="T151" s="635">
        <f t="shared" si="60"/>
        <v>1</v>
      </c>
      <c r="U151" s="707">
        <f t="shared" si="61"/>
        <v>3.0735002727141293E-3</v>
      </c>
      <c r="V151" s="707">
        <f t="shared" si="62"/>
        <v>27.928168498150431</v>
      </c>
      <c r="W151" s="707">
        <f t="shared" si="63"/>
        <v>63.864825075775734</v>
      </c>
      <c r="X151" s="636">
        <f t="shared" si="64"/>
        <v>1</v>
      </c>
      <c r="Y151" s="636">
        <f t="shared" si="65"/>
        <v>0</v>
      </c>
      <c r="Z151" s="637">
        <f t="shared" si="66"/>
        <v>27.928168498150431</v>
      </c>
      <c r="AA151" s="635">
        <f t="shared" si="67"/>
        <v>0.77080219293264929</v>
      </c>
      <c r="AB151" s="707">
        <f t="shared" si="68"/>
        <v>10.107183156539675</v>
      </c>
      <c r="AC151" s="644"/>
    </row>
    <row r="152" spans="1:29"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69"/>
        <v>0</v>
      </c>
      <c r="I152" s="27">
        <f t="shared" si="51"/>
        <v>1.8</v>
      </c>
      <c r="J152" s="738">
        <f>IF(Weather_Site!M150&lt;180,Weather_Site!M150+180,Weather_Site!M150-180)</f>
        <v>328</v>
      </c>
      <c r="K152" s="635">
        <f t="shared" si="52"/>
        <v>4.6326499999999999</v>
      </c>
      <c r="L152" s="635">
        <f t="shared" si="53"/>
        <v>5.5961000000000007</v>
      </c>
      <c r="M152" s="635">
        <f t="shared" si="54"/>
        <v>5.5446499999999999</v>
      </c>
      <c r="N152" s="635">
        <f t="shared" si="55"/>
        <v>5.5446499999999999</v>
      </c>
      <c r="O152" s="636">
        <f t="shared" si="56"/>
        <v>0.90509704157657822</v>
      </c>
      <c r="P152" s="635">
        <f>IF($O$11,Weather_Site!H150,IF(0.191*(Weather_Site!K150+104)*(Weather_Site!J150+1)^1.5/(3.52*(Weather_Site!J150+1)^1.5+Weather_Site!I150-1)&gt;10, 10,0.191*(Weather_Site!K150+104)*(Weather_Site!J150+1)^1.5/(3.52*(Weather_Site!J150+1)^1.5+Weather_Site!I150-1)))</f>
        <v>9.1</v>
      </c>
      <c r="Q152" s="635">
        <f t="shared" si="57"/>
        <v>2.7114164895999977</v>
      </c>
      <c r="R152" s="636">
        <f t="shared" si="58"/>
        <v>0.10708736132514535</v>
      </c>
      <c r="S152" s="636">
        <f t="shared" si="59"/>
        <v>9.6924453925631135E-2</v>
      </c>
      <c r="T152" s="635">
        <f t="shared" si="60"/>
        <v>1</v>
      </c>
      <c r="U152" s="707">
        <f t="shared" si="61"/>
        <v>2.9077336177689341E-3</v>
      </c>
      <c r="V152" s="707">
        <f t="shared" si="62"/>
        <v>33.506146500539771</v>
      </c>
      <c r="W152" s="707">
        <f t="shared" si="63"/>
        <v>69.521649132583633</v>
      </c>
      <c r="X152" s="636">
        <f t="shared" si="64"/>
        <v>1</v>
      </c>
      <c r="Y152" s="636">
        <f t="shared" si="65"/>
        <v>0</v>
      </c>
      <c r="Z152" s="637">
        <f t="shared" si="66"/>
        <v>33.506146500539771</v>
      </c>
      <c r="AA152" s="635">
        <f t="shared" si="67"/>
        <v>0.87926390895573592</v>
      </c>
      <c r="AB152" s="707">
        <f t="shared" si="68"/>
        <v>11.230106750415528</v>
      </c>
      <c r="AC152" s="644"/>
    </row>
    <row r="153" spans="1:29"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69"/>
        <v>0</v>
      </c>
      <c r="I153" s="27">
        <f t="shared" si="51"/>
        <v>1.8</v>
      </c>
      <c r="J153" s="738">
        <f>IF(Weather_Site!M151&lt;180,Weather_Site!M151+180,Weather_Site!M151-180)</f>
        <v>325</v>
      </c>
      <c r="K153" s="635">
        <f t="shared" si="52"/>
        <v>4.9887099999999993</v>
      </c>
      <c r="L153" s="635">
        <f t="shared" si="53"/>
        <v>6.1165000000000003</v>
      </c>
      <c r="M153" s="635">
        <f t="shared" si="54"/>
        <v>6.1463900000000002</v>
      </c>
      <c r="N153" s="635">
        <f t="shared" si="55"/>
        <v>6.1463900000000002</v>
      </c>
      <c r="O153" s="636">
        <f t="shared" si="56"/>
        <v>0.8568507545097992</v>
      </c>
      <c r="P153" s="635">
        <f>IF($O$11,Weather_Site!H151,IF(0.191*(Weather_Site!K151+104)*(Weather_Site!J151+1)^1.5/(3.52*(Weather_Site!J151+1)^1.5+Weather_Site!I151-1)&gt;10, 10,0.191*(Weather_Site!K151+104)*(Weather_Site!J151+1)^1.5/(3.52*(Weather_Site!J151+1)^1.5+Weather_Site!I151-1)))</f>
        <v>9.1</v>
      </c>
      <c r="Q153" s="635">
        <f t="shared" si="57"/>
        <v>2.7114164895999977</v>
      </c>
      <c r="R153" s="636">
        <f t="shared" si="58"/>
        <v>0.10708736132514535</v>
      </c>
      <c r="S153" s="636">
        <f t="shared" si="59"/>
        <v>9.1757886349914275E-2</v>
      </c>
      <c r="T153" s="635">
        <f t="shared" si="60"/>
        <v>1</v>
      </c>
      <c r="U153" s="707">
        <f t="shared" si="61"/>
        <v>2.7527365904974283E-3</v>
      </c>
      <c r="V153" s="707">
        <f t="shared" si="62"/>
        <v>31.72009805677207</v>
      </c>
      <c r="W153" s="707">
        <f t="shared" si="63"/>
        <v>65.815790768972192</v>
      </c>
      <c r="X153" s="636">
        <f t="shared" si="64"/>
        <v>1</v>
      </c>
      <c r="Y153" s="636">
        <f t="shared" si="65"/>
        <v>0</v>
      </c>
      <c r="Z153" s="637">
        <f t="shared" si="66"/>
        <v>31.72009805677207</v>
      </c>
      <c r="AA153" s="635">
        <f t="shared" si="67"/>
        <v>0.8451214110875469</v>
      </c>
      <c r="AB153" s="707">
        <f t="shared" si="68"/>
        <v>10.631484802511084</v>
      </c>
      <c r="AC153" s="644"/>
    </row>
    <row r="154" spans="1:29"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69"/>
        <v>0</v>
      </c>
      <c r="I154" s="27">
        <f t="shared" si="51"/>
        <v>1.8</v>
      </c>
      <c r="J154" s="738">
        <f>IF(Weather_Site!M152&lt;180,Weather_Site!M152+180,Weather_Site!M152-180)</f>
        <v>311</v>
      </c>
      <c r="K154" s="635">
        <f t="shared" si="52"/>
        <v>5.1753999999999998</v>
      </c>
      <c r="L154" s="635">
        <f t="shared" si="53"/>
        <v>6.3846000000000007</v>
      </c>
      <c r="M154" s="635">
        <f t="shared" si="54"/>
        <v>6.4573999999999998</v>
      </c>
      <c r="N154" s="635">
        <f t="shared" si="55"/>
        <v>6.4573999999999998</v>
      </c>
      <c r="O154" s="636">
        <f t="shared" si="56"/>
        <v>0.83048071462284201</v>
      </c>
      <c r="P154" s="635">
        <f>IF($O$11,Weather_Site!H152,IF(0.191*(Weather_Site!K152+104)*(Weather_Site!J152+1)^1.5/(3.52*(Weather_Site!J152+1)^1.5+Weather_Site!I152-1)&gt;10, 10,0.191*(Weather_Site!K152+104)*(Weather_Site!J152+1)^1.5/(3.52*(Weather_Site!J152+1)^1.5+Weather_Site!I152-1)))</f>
        <v>9.1</v>
      </c>
      <c r="Q154" s="635">
        <f t="shared" si="57"/>
        <v>2.7114164895999977</v>
      </c>
      <c r="R154" s="636">
        <f t="shared" si="58"/>
        <v>0.10708736132514535</v>
      </c>
      <c r="S154" s="636">
        <f t="shared" si="59"/>
        <v>8.8933988360381203E-2</v>
      </c>
      <c r="T154" s="635">
        <f t="shared" si="60"/>
        <v>1</v>
      </c>
      <c r="U154" s="707">
        <f t="shared" si="61"/>
        <v>2.6680196508114358E-3</v>
      </c>
      <c r="V154" s="707">
        <f t="shared" si="62"/>
        <v>30.743895087266829</v>
      </c>
      <c r="W154" s="707">
        <f t="shared" si="63"/>
        <v>63.790274634879125</v>
      </c>
      <c r="X154" s="636">
        <f t="shared" si="64"/>
        <v>1</v>
      </c>
      <c r="Y154" s="636">
        <f t="shared" si="65"/>
        <v>0</v>
      </c>
      <c r="Z154" s="637">
        <f t="shared" si="66"/>
        <v>30.743895087266829</v>
      </c>
      <c r="AA154" s="635">
        <f t="shared" si="67"/>
        <v>0.82623563695797153</v>
      </c>
      <c r="AB154" s="707">
        <f t="shared" si="68"/>
        <v>10.304295176051356</v>
      </c>
      <c r="AC154" s="644"/>
    </row>
    <row r="155" spans="1:29"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69"/>
        <v>0</v>
      </c>
      <c r="I155" s="27">
        <f t="shared" si="51"/>
        <v>2</v>
      </c>
      <c r="J155" s="738">
        <f>IF(Weather_Site!M153&lt;180,Weather_Site!M153+180,Weather_Site!M153-180)</f>
        <v>302</v>
      </c>
      <c r="K155" s="635">
        <f t="shared" si="52"/>
        <v>5.3962399999999997</v>
      </c>
      <c r="L155" s="635">
        <f t="shared" si="53"/>
        <v>6.7090000000000014</v>
      </c>
      <c r="M155" s="635">
        <f t="shared" si="54"/>
        <v>6.8321600000000009</v>
      </c>
      <c r="N155" s="635">
        <f t="shared" si="55"/>
        <v>6.8321600000000009</v>
      </c>
      <c r="O155" s="636">
        <f t="shared" si="56"/>
        <v>0.79773383503401107</v>
      </c>
      <c r="P155" s="635">
        <f>IF($O$11,Weather_Site!H153,IF(0.191*(Weather_Site!K153+104)*(Weather_Site!J153+1)^1.5/(3.52*(Weather_Site!J153+1)^1.5+Weather_Site!I153-1)&gt;10, 10,0.191*(Weather_Site!K153+104)*(Weather_Site!J153+1)^1.5/(3.52*(Weather_Site!J153+1)^1.5+Weather_Site!I153-1)))</f>
        <v>9.1</v>
      </c>
      <c r="Q155" s="635">
        <f t="shared" si="57"/>
        <v>2.7114164895999977</v>
      </c>
      <c r="R155" s="636">
        <f t="shared" si="58"/>
        <v>0.10708736132514535</v>
      </c>
      <c r="S155" s="636">
        <f t="shared" si="59"/>
        <v>8.5427211433581035E-2</v>
      </c>
      <c r="T155" s="635">
        <f t="shared" si="60"/>
        <v>1</v>
      </c>
      <c r="U155" s="707">
        <f t="shared" si="61"/>
        <v>2.5628163430074309E-3</v>
      </c>
      <c r="V155" s="707">
        <f t="shared" si="62"/>
        <v>35.506264086502604</v>
      </c>
      <c r="W155" s="707">
        <f t="shared" si="63"/>
        <v>69.469298933580632</v>
      </c>
      <c r="X155" s="636">
        <f t="shared" si="64"/>
        <v>1</v>
      </c>
      <c r="Y155" s="636">
        <f t="shared" si="65"/>
        <v>0</v>
      </c>
      <c r="Z155" s="637">
        <f t="shared" si="66"/>
        <v>35.506264086502604</v>
      </c>
      <c r="AA155" s="635">
        <f t="shared" si="67"/>
        <v>0.91690585422132898</v>
      </c>
      <c r="AB155" s="707">
        <f t="shared" si="68"/>
        <v>11.081855208022036</v>
      </c>
      <c r="AC155" s="644"/>
    </row>
    <row r="156" spans="1:29"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69"/>
        <v>0</v>
      </c>
      <c r="I156" s="27">
        <f t="shared" si="51"/>
        <v>2</v>
      </c>
      <c r="J156" s="738">
        <f>IF(Weather_Site!M154&lt;180,Weather_Site!M154+180,Weather_Site!M154-180)</f>
        <v>303</v>
      </c>
      <c r="K156" s="635">
        <f t="shared" si="52"/>
        <v>5.6257400000000004</v>
      </c>
      <c r="L156" s="635">
        <f t="shared" si="53"/>
        <v>7.0412999999999997</v>
      </c>
      <c r="M156" s="635">
        <f t="shared" si="54"/>
        <v>7.21706</v>
      </c>
      <c r="N156" s="635">
        <f t="shared" si="55"/>
        <v>7.21706</v>
      </c>
      <c r="O156" s="636">
        <f t="shared" si="56"/>
        <v>0.76328633820887604</v>
      </c>
      <c r="P156" s="635">
        <f>IF($O$11,Weather_Site!H154,IF(0.191*(Weather_Site!K154+104)*(Weather_Site!J154+1)^1.5/(3.52*(Weather_Site!J154+1)^1.5+Weather_Site!I154-1)&gt;10, 10,0.191*(Weather_Site!K154+104)*(Weather_Site!J154+1)^1.5/(3.52*(Weather_Site!J154+1)^1.5+Weather_Site!I154-1)))</f>
        <v>9.1</v>
      </c>
      <c r="Q156" s="635">
        <f t="shared" si="57"/>
        <v>2.7114164895999977</v>
      </c>
      <c r="R156" s="636">
        <f t="shared" si="58"/>
        <v>0.10708736132514535</v>
      </c>
      <c r="S156" s="636">
        <f t="shared" si="59"/>
        <v>8.1738319894320996E-2</v>
      </c>
      <c r="T156" s="635">
        <f t="shared" si="60"/>
        <v>1</v>
      </c>
      <c r="U156" s="707">
        <f t="shared" si="61"/>
        <v>2.4521495968296298E-3</v>
      </c>
      <c r="V156" s="707">
        <f t="shared" si="62"/>
        <v>33.9730435238571</v>
      </c>
      <c r="W156" s="707">
        <f t="shared" si="63"/>
        <v>66.469497058113163</v>
      </c>
      <c r="X156" s="636">
        <f t="shared" si="64"/>
        <v>1</v>
      </c>
      <c r="Y156" s="636">
        <f t="shared" si="65"/>
        <v>0</v>
      </c>
      <c r="Z156" s="637">
        <f t="shared" si="66"/>
        <v>33.9730435238571</v>
      </c>
      <c r="AA156" s="635">
        <f t="shared" si="67"/>
        <v>0.8881052904728477</v>
      </c>
      <c r="AB156" s="707">
        <f t="shared" si="68"/>
        <v>10.603321948769382</v>
      </c>
      <c r="AC156" s="644"/>
    </row>
    <row r="157" spans="1:29"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69"/>
        <v>0</v>
      </c>
      <c r="I157" s="27">
        <f t="shared" si="51"/>
        <v>2</v>
      </c>
      <c r="J157" s="738">
        <f>IF(Weather_Site!M155&lt;180,Weather_Site!M155+180,Weather_Site!M155-180)</f>
        <v>301</v>
      </c>
      <c r="K157" s="635">
        <f t="shared" si="52"/>
        <v>6.39405</v>
      </c>
      <c r="L157" s="635">
        <f t="shared" si="53"/>
        <v>8.1138000000000012</v>
      </c>
      <c r="M157" s="635">
        <f t="shared" si="54"/>
        <v>8.4678500000000003</v>
      </c>
      <c r="N157" s="635">
        <f t="shared" si="55"/>
        <v>8.4678500000000003</v>
      </c>
      <c r="O157" s="636">
        <f t="shared" si="56"/>
        <v>0.64913425053492335</v>
      </c>
      <c r="P157" s="635">
        <f>IF($O$11,Weather_Site!H155,IF(0.191*(Weather_Site!K155+104)*(Weather_Site!J155+1)^1.5/(3.52*(Weather_Site!J155+1)^1.5+Weather_Site!I155-1)&gt;10, 10,0.191*(Weather_Site!K155+104)*(Weather_Site!J155+1)^1.5/(3.52*(Weather_Site!J155+1)^1.5+Weather_Site!I155-1)))</f>
        <v>9.1</v>
      </c>
      <c r="Q157" s="635">
        <f t="shared" si="57"/>
        <v>2.7114164895999977</v>
      </c>
      <c r="R157" s="636">
        <f t="shared" si="58"/>
        <v>0.10708736132514535</v>
      </c>
      <c r="S157" s="636">
        <f t="shared" si="59"/>
        <v>6.9514074035560758E-2</v>
      </c>
      <c r="T157" s="635">
        <f t="shared" si="60"/>
        <v>1</v>
      </c>
      <c r="U157" s="707">
        <f t="shared" si="61"/>
        <v>2.0854222210668228E-3</v>
      </c>
      <c r="V157" s="707">
        <f t="shared" si="62"/>
        <v>28.892258438686227</v>
      </c>
      <c r="W157" s="707">
        <f t="shared" si="63"/>
        <v>56.528755981014406</v>
      </c>
      <c r="X157" s="636">
        <f t="shared" si="64"/>
        <v>1</v>
      </c>
      <c r="Y157" s="636">
        <f t="shared" si="65"/>
        <v>0</v>
      </c>
      <c r="Z157" s="637">
        <f t="shared" si="66"/>
        <v>28.892258438686227</v>
      </c>
      <c r="AA157" s="635">
        <f t="shared" si="67"/>
        <v>0.78994938221831568</v>
      </c>
      <c r="AB157" s="707">
        <f t="shared" si="68"/>
        <v>9.0175588135724798</v>
      </c>
      <c r="AC157" s="644"/>
    </row>
    <row r="158" spans="1:29"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69"/>
        <v>0</v>
      </c>
      <c r="I158" s="27">
        <f t="shared" si="51"/>
        <v>1.8</v>
      </c>
      <c r="J158" s="738">
        <f>IF(Weather_Site!M156&lt;180,Weather_Site!M156+180,Weather_Site!M156-180)</f>
        <v>299</v>
      </c>
      <c r="K158" s="635">
        <f t="shared" si="52"/>
        <v>7.1176799999999991</v>
      </c>
      <c r="L158" s="635">
        <f t="shared" si="53"/>
        <v>9.1176000000000013</v>
      </c>
      <c r="M158" s="635">
        <f t="shared" si="54"/>
        <v>9.63992</v>
      </c>
      <c r="N158" s="635">
        <f t="shared" si="55"/>
        <v>9.63992</v>
      </c>
      <c r="O158" s="636">
        <f t="shared" si="56"/>
        <v>0.54498448558489154</v>
      </c>
      <c r="P158" s="635">
        <f>IF($O$11,Weather_Site!H156,IF(0.191*(Weather_Site!K156+104)*(Weather_Site!J156+1)^1.5/(3.52*(Weather_Site!J156+1)^1.5+Weather_Site!I156-1)&gt;10, 10,0.191*(Weather_Site!K156+104)*(Weather_Site!J156+1)^1.5/(3.52*(Weather_Site!J156+1)^1.5+Weather_Site!I156-1)))</f>
        <v>9.1</v>
      </c>
      <c r="Q158" s="635">
        <f t="shared" si="57"/>
        <v>2.7114164895999977</v>
      </c>
      <c r="R158" s="636">
        <f t="shared" si="58"/>
        <v>0.10708736132514535</v>
      </c>
      <c r="S158" s="636">
        <f t="shared" si="59"/>
        <v>5.8360950524427746E-2</v>
      </c>
      <c r="T158" s="635">
        <f t="shared" si="60"/>
        <v>1</v>
      </c>
      <c r="U158" s="707">
        <f t="shared" si="61"/>
        <v>1.7508285157328324E-3</v>
      </c>
      <c r="V158" s="707">
        <f t="shared" si="62"/>
        <v>20.174996907205905</v>
      </c>
      <c r="W158" s="707">
        <f t="shared" si="63"/>
        <v>41.860947996843905</v>
      </c>
      <c r="X158" s="636">
        <f t="shared" si="64"/>
        <v>1</v>
      </c>
      <c r="Y158" s="636">
        <f t="shared" si="65"/>
        <v>0</v>
      </c>
      <c r="Z158" s="637">
        <f t="shared" si="66"/>
        <v>20.174996907205905</v>
      </c>
      <c r="AA158" s="635">
        <f t="shared" si="67"/>
        <v>0.60930450558085003</v>
      </c>
      <c r="AB158" s="707">
        <f t="shared" si="68"/>
        <v>6.7619643743148901</v>
      </c>
      <c r="AC158" s="644"/>
    </row>
    <row r="159" spans="1:29"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69"/>
        <v>0</v>
      </c>
      <c r="I159" s="27">
        <f t="shared" si="51"/>
        <v>1.8</v>
      </c>
      <c r="J159" s="738">
        <f>IF(Weather_Site!M157&lt;180,Weather_Site!M157+180,Weather_Site!M157-180)</f>
        <v>297</v>
      </c>
      <c r="K159" s="635">
        <f t="shared" si="52"/>
        <v>7.9405100000000006</v>
      </c>
      <c r="L159" s="635">
        <f t="shared" si="53"/>
        <v>10.256600000000001</v>
      </c>
      <c r="M159" s="635">
        <f t="shared" si="54"/>
        <v>10.97039</v>
      </c>
      <c r="N159" s="635">
        <f t="shared" si="55"/>
        <v>10.97039</v>
      </c>
      <c r="O159" s="636">
        <f t="shared" si="56"/>
        <v>0.43749463725486792</v>
      </c>
      <c r="P159" s="635">
        <f>IF($O$11,Weather_Site!H157,IF(0.191*(Weather_Site!K157+104)*(Weather_Site!J157+1)^1.5/(3.52*(Weather_Site!J157+1)^1.5+Weather_Site!I157-1)&gt;10, 10,0.191*(Weather_Site!K157+104)*(Weather_Site!J157+1)^1.5/(3.52*(Weather_Site!J157+1)^1.5+Weather_Site!I157-1)))</f>
        <v>9.1</v>
      </c>
      <c r="Q159" s="635">
        <f t="shared" si="57"/>
        <v>2.7114164895999977</v>
      </c>
      <c r="R159" s="636">
        <f t="shared" si="58"/>
        <v>0.10708736132514535</v>
      </c>
      <c r="S159" s="636">
        <f t="shared" si="59"/>
        <v>4.6850146297525437E-2</v>
      </c>
      <c r="T159" s="635">
        <f t="shared" si="60"/>
        <v>1</v>
      </c>
      <c r="U159" s="707">
        <f t="shared" si="61"/>
        <v>1.405504388925763E-3</v>
      </c>
      <c r="V159" s="707">
        <f t="shared" si="62"/>
        <v>16.195787562765847</v>
      </c>
      <c r="W159" s="707">
        <f t="shared" si="63"/>
        <v>33.604516721919374</v>
      </c>
      <c r="X159" s="636">
        <f t="shared" si="64"/>
        <v>1</v>
      </c>
      <c r="Y159" s="636">
        <f t="shared" si="65"/>
        <v>0</v>
      </c>
      <c r="Z159" s="637">
        <f t="shared" si="66"/>
        <v>16.195787562765847</v>
      </c>
      <c r="AA159" s="635">
        <f t="shared" si="67"/>
        <v>0.51981875362107577</v>
      </c>
      <c r="AB159" s="707">
        <f t="shared" si="68"/>
        <v>5.4282703991037158</v>
      </c>
      <c r="AC159" s="644"/>
    </row>
    <row r="160" spans="1:29"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9"/>
        <v>0</v>
      </c>
      <c r="I160" s="27">
        <f t="shared" si="51"/>
        <v>1.8</v>
      </c>
      <c r="J160" s="738">
        <f>IF(Weather_Site!M158&lt;180,Weather_Site!M158+180,Weather_Site!M158-180)</f>
        <v>293</v>
      </c>
      <c r="K160" s="635">
        <f t="shared" si="52"/>
        <v>8.1283799999999999</v>
      </c>
      <c r="L160" s="635">
        <f t="shared" si="53"/>
        <v>10.514600000000002</v>
      </c>
      <c r="M160" s="635">
        <f t="shared" si="54"/>
        <v>11.272220000000001</v>
      </c>
      <c r="N160" s="635">
        <f t="shared" si="55"/>
        <v>10.514600000000002</v>
      </c>
      <c r="O160" s="636">
        <f t="shared" si="56"/>
        <v>0.41532537577604378</v>
      </c>
      <c r="P160" s="635">
        <f>IF($O$11,Weather_Site!H158,IF(0.191*(Weather_Site!K158+104)*(Weather_Site!J158+1)^1.5/(3.52*(Weather_Site!J158+1)^1.5+Weather_Site!I158-1)&gt;10, 10,0.191*(Weather_Site!K158+104)*(Weather_Site!J158+1)^1.5/(3.52*(Weather_Site!J158+1)^1.5+Weather_Site!I158-1)))</f>
        <v>9.1</v>
      </c>
      <c r="Q160" s="635">
        <f t="shared" si="57"/>
        <v>2.7114164895999977</v>
      </c>
      <c r="R160" s="636">
        <f t="shared" si="58"/>
        <v>0.10708736132514535</v>
      </c>
      <c r="S160" s="636">
        <f t="shared" si="59"/>
        <v>4.4476098583230969E-2</v>
      </c>
      <c r="T160" s="635">
        <f t="shared" si="60"/>
        <v>1</v>
      </c>
      <c r="U160" s="707">
        <f t="shared" si="61"/>
        <v>1.334282957496929E-3</v>
      </c>
      <c r="V160" s="707">
        <f t="shared" si="62"/>
        <v>15.375094875908349</v>
      </c>
      <c r="W160" s="707">
        <f t="shared" si="63"/>
        <v>31.901667693295174</v>
      </c>
      <c r="X160" s="636">
        <f t="shared" si="64"/>
        <v>1</v>
      </c>
      <c r="Y160" s="636">
        <f t="shared" si="65"/>
        <v>0</v>
      </c>
      <c r="Z160" s="637">
        <f t="shared" si="66"/>
        <v>15.375094875908349</v>
      </c>
      <c r="AA160" s="635">
        <f t="shared" si="67"/>
        <v>0.50063766289676925</v>
      </c>
      <c r="AB160" s="707">
        <f t="shared" si="68"/>
        <v>5.1532024654472277</v>
      </c>
      <c r="AC160" s="644"/>
    </row>
    <row r="161" spans="1:29"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9"/>
        <v>0</v>
      </c>
      <c r="I161" s="27">
        <f t="shared" si="51"/>
        <v>2</v>
      </c>
      <c r="J161" s="738">
        <f>IF(Weather_Site!M159&lt;180,Weather_Site!M159+180,Weather_Site!M159-180)</f>
        <v>291</v>
      </c>
      <c r="K161" s="635">
        <f t="shared" si="52"/>
        <v>7.6396600000000001</v>
      </c>
      <c r="L161" s="635">
        <f t="shared" si="53"/>
        <v>9.8173000000000012</v>
      </c>
      <c r="M161" s="635">
        <f t="shared" si="54"/>
        <v>10.462340000000001</v>
      </c>
      <c r="N161" s="635">
        <f t="shared" si="55"/>
        <v>9.8173000000000012</v>
      </c>
      <c r="O161" s="636">
        <f t="shared" si="56"/>
        <v>0.47679147156931362</v>
      </c>
      <c r="P161" s="635">
        <f>IF($O$11,Weather_Site!H159,IF(0.191*(Weather_Site!K159+104)*(Weather_Site!J159+1)^1.5/(3.52*(Weather_Site!J159+1)^1.5+Weather_Site!I159-1)&gt;10, 10,0.191*(Weather_Site!K159+104)*(Weather_Site!J159+1)^1.5/(3.52*(Weather_Site!J159+1)^1.5+Weather_Site!I159-1)))</f>
        <v>9.1</v>
      </c>
      <c r="Q161" s="635">
        <f t="shared" si="57"/>
        <v>2.7114164895999977</v>
      </c>
      <c r="R161" s="636">
        <f t="shared" si="58"/>
        <v>0.10708736132514535</v>
      </c>
      <c r="S161" s="636">
        <f t="shared" si="59"/>
        <v>5.1058340592690855E-2</v>
      </c>
      <c r="T161" s="635">
        <f t="shared" si="60"/>
        <v>1</v>
      </c>
      <c r="U161" s="707">
        <f t="shared" si="61"/>
        <v>1.5317502177807257E-3</v>
      </c>
      <c r="V161" s="707">
        <f t="shared" si="62"/>
        <v>21.221469066822877</v>
      </c>
      <c r="W161" s="707">
        <f t="shared" si="63"/>
        <v>41.520577181007127</v>
      </c>
      <c r="X161" s="636">
        <f t="shared" si="64"/>
        <v>1</v>
      </c>
      <c r="Y161" s="636">
        <f t="shared" si="65"/>
        <v>0</v>
      </c>
      <c r="Z161" s="637">
        <f t="shared" si="66"/>
        <v>21.221469066822877</v>
      </c>
      <c r="AA161" s="635">
        <f t="shared" si="67"/>
        <v>0.63199390870391536</v>
      </c>
      <c r="AB161" s="707">
        <f t="shared" si="68"/>
        <v>6.6234297961369775</v>
      </c>
      <c r="AC161" s="644"/>
    </row>
    <row r="162" spans="1:29"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9"/>
        <v>0</v>
      </c>
      <c r="I162" s="27">
        <f t="shared" si="51"/>
        <v>2.8</v>
      </c>
      <c r="J162" s="738">
        <f>IF(Weather_Site!M160&lt;180,Weather_Site!M160+180,Weather_Site!M160-180)</f>
        <v>278</v>
      </c>
      <c r="K162" s="635">
        <f t="shared" si="52"/>
        <v>6.7099500000000001</v>
      </c>
      <c r="L162" s="635">
        <f t="shared" si="53"/>
        <v>8.4858000000000011</v>
      </c>
      <c r="M162" s="635">
        <f t="shared" si="54"/>
        <v>8.9169500000000017</v>
      </c>
      <c r="N162" s="635">
        <f t="shared" si="55"/>
        <v>8.4858000000000011</v>
      </c>
      <c r="O162" s="636">
        <f t="shared" si="56"/>
        <v>0.60853767235827894</v>
      </c>
      <c r="P162" s="635">
        <f>IF($O$11,Weather_Site!H160,IF(0.191*(Weather_Site!K160+104)*(Weather_Site!J160+1)^1.5/(3.52*(Weather_Site!J160+1)^1.5+Weather_Site!I160-1)&gt;10, 10,0.191*(Weather_Site!K160+104)*(Weather_Site!J160+1)^1.5/(3.52*(Weather_Site!J160+1)^1.5+Weather_Site!I160-1)))</f>
        <v>9.1</v>
      </c>
      <c r="Q162" s="635">
        <f t="shared" si="57"/>
        <v>2.7114164895999977</v>
      </c>
      <c r="R162" s="636">
        <f t="shared" si="58"/>
        <v>0.10708736132514535</v>
      </c>
      <c r="S162" s="636">
        <f t="shared" si="59"/>
        <v>6.5166693599793934E-2</v>
      </c>
      <c r="T162" s="635">
        <f t="shared" si="60"/>
        <v>1</v>
      </c>
      <c r="U162" s="707">
        <f t="shared" si="61"/>
        <v>13.316205239679519</v>
      </c>
      <c r="V162" s="707">
        <f t="shared" si="62"/>
        <v>44.005847567873694</v>
      </c>
      <c r="W162" s="707">
        <f t="shared" si="63"/>
        <v>79.122823898364544</v>
      </c>
      <c r="X162" s="636">
        <f t="shared" si="64"/>
        <v>1</v>
      </c>
      <c r="Y162" s="636">
        <f t="shared" si="65"/>
        <v>0</v>
      </c>
      <c r="Z162" s="637">
        <f t="shared" si="66"/>
        <v>44.005847567873694</v>
      </c>
      <c r="AA162" s="635">
        <f t="shared" si="67"/>
        <v>1.0708096044501723</v>
      </c>
      <c r="AB162" s="707">
        <f t="shared" si="68"/>
        <v>10.770963277823011</v>
      </c>
      <c r="AC162" s="644"/>
    </row>
    <row r="163" spans="1:29"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9"/>
        <v>0</v>
      </c>
      <c r="I163" s="27">
        <f t="shared" si="51"/>
        <v>2</v>
      </c>
      <c r="J163" s="738">
        <f>IF(Weather_Site!M161&lt;180,Weather_Site!M161+180,Weather_Site!M161-180)</f>
        <v>259</v>
      </c>
      <c r="K163" s="635">
        <f t="shared" si="52"/>
        <v>6.1721199999999996</v>
      </c>
      <c r="L163" s="635">
        <f t="shared" si="53"/>
        <v>7.6962000000000002</v>
      </c>
      <c r="M163" s="635">
        <f t="shared" si="54"/>
        <v>8.0046800000000005</v>
      </c>
      <c r="N163" s="635">
        <f t="shared" si="55"/>
        <v>7.6962000000000002</v>
      </c>
      <c r="O163" s="636">
        <f t="shared" si="56"/>
        <v>0.69145904964960558</v>
      </c>
      <c r="P163" s="635">
        <f>IF($O$11,Weather_Site!H161,IF(0.191*(Weather_Site!K161+104)*(Weather_Site!J161+1)^1.5/(3.52*(Weather_Site!J161+1)^1.5+Weather_Site!I161-1)&gt;10, 10,0.191*(Weather_Site!K161+104)*(Weather_Site!J161+1)^1.5/(3.52*(Weather_Site!J161+1)^1.5+Weather_Site!I161-1)))</f>
        <v>9.1</v>
      </c>
      <c r="Q163" s="635">
        <f t="shared" si="57"/>
        <v>2.7114164895999977</v>
      </c>
      <c r="R163" s="636">
        <f t="shared" si="58"/>
        <v>0.10708736132514535</v>
      </c>
      <c r="S163" s="636">
        <f t="shared" si="59"/>
        <v>7.4046525091368928E-2</v>
      </c>
      <c r="T163" s="635">
        <f t="shared" si="60"/>
        <v>1</v>
      </c>
      <c r="U163" s="707">
        <f t="shared" si="61"/>
        <v>2.221395752741068E-3</v>
      </c>
      <c r="V163" s="707">
        <f t="shared" si="62"/>
        <v>30.776089146092552</v>
      </c>
      <c r="W163" s="707">
        <f t="shared" si="63"/>
        <v>60.214539375016059</v>
      </c>
      <c r="X163" s="636">
        <f t="shared" si="64"/>
        <v>1</v>
      </c>
      <c r="Y163" s="636">
        <f t="shared" si="65"/>
        <v>0</v>
      </c>
      <c r="Z163" s="637">
        <f t="shared" si="66"/>
        <v>30.776089146092552</v>
      </c>
      <c r="AA163" s="635">
        <f t="shared" si="67"/>
        <v>0.82686109200381419</v>
      </c>
      <c r="AB163" s="707">
        <f t="shared" si="68"/>
        <v>9.6055209569577258</v>
      </c>
      <c r="AC163" s="644"/>
    </row>
    <row r="164" spans="1:29"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9"/>
        <v>0</v>
      </c>
      <c r="I164" s="27">
        <f t="shared" si="51"/>
        <v>3.2</v>
      </c>
      <c r="J164" s="738">
        <f>IF(Weather_Site!M162&lt;180,Weather_Site!M162+180,Weather_Site!M162-180)</f>
        <v>241</v>
      </c>
      <c r="K164" s="635">
        <f t="shared" si="52"/>
        <v>5.2356199999999991</v>
      </c>
      <c r="L164" s="635">
        <f t="shared" si="53"/>
        <v>6.3613</v>
      </c>
      <c r="M164" s="635">
        <f t="shared" si="54"/>
        <v>6.4539799999999996</v>
      </c>
      <c r="N164" s="635">
        <f t="shared" si="55"/>
        <v>6.3613</v>
      </c>
      <c r="O164" s="636">
        <f t="shared" si="56"/>
        <v>0.83077504793279955</v>
      </c>
      <c r="P164" s="635">
        <f>IF($O$11,Weather_Site!H162,IF(0.191*(Weather_Site!K162+104)*(Weather_Site!J162+1)^1.5/(3.52*(Weather_Site!J162+1)^1.5+Weather_Site!I162-1)&gt;10, 10,0.191*(Weather_Site!K162+104)*(Weather_Site!J162+1)^1.5/(3.52*(Weather_Site!J162+1)^1.5+Weather_Site!I162-1)))</f>
        <v>9.1</v>
      </c>
      <c r="Q164" s="635">
        <f t="shared" si="57"/>
        <v>2.7114164895999977</v>
      </c>
      <c r="R164" s="636">
        <f t="shared" si="58"/>
        <v>0.10708736132514535</v>
      </c>
      <c r="S164" s="636">
        <f t="shared" si="59"/>
        <v>8.8965507737894647E-2</v>
      </c>
      <c r="T164" s="635">
        <f t="shared" si="60"/>
        <v>1</v>
      </c>
      <c r="U164" s="707">
        <f t="shared" si="61"/>
        <v>21.347629428915329</v>
      </c>
      <c r="V164" s="707">
        <f t="shared" si="62"/>
        <v>70.903127780632161</v>
      </c>
      <c r="W164" s="707">
        <f t="shared" si="63"/>
        <v>126.64335307881883</v>
      </c>
      <c r="X164" s="636">
        <f t="shared" si="64"/>
        <v>1</v>
      </c>
      <c r="Y164" s="636">
        <f t="shared" si="65"/>
        <v>0</v>
      </c>
      <c r="Z164" s="637">
        <f t="shared" si="66"/>
        <v>70.903127780632161</v>
      </c>
      <c r="AA164" s="635">
        <f t="shared" si="67"/>
        <v>1.5117686172005549</v>
      </c>
      <c r="AB164" s="707">
        <f t="shared" si="68"/>
        <v>15.664353079849803</v>
      </c>
      <c r="AC164" s="644"/>
    </row>
    <row r="165" spans="1:29"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9"/>
        <v>0</v>
      </c>
      <c r="I165" s="27">
        <f t="shared" si="51"/>
        <v>3.4</v>
      </c>
      <c r="J165" s="738">
        <f>IF(Weather_Site!M163&lt;180,Weather_Site!M163+180,Weather_Site!M163-180)</f>
        <v>236</v>
      </c>
      <c r="K165" s="635">
        <f t="shared" si="52"/>
        <v>4.6432699999999993</v>
      </c>
      <c r="L165" s="635">
        <f t="shared" si="53"/>
        <v>5.5052000000000003</v>
      </c>
      <c r="M165" s="635">
        <f t="shared" si="54"/>
        <v>5.4620300000000004</v>
      </c>
      <c r="N165" s="635">
        <f t="shared" si="55"/>
        <v>5.5052000000000003</v>
      </c>
      <c r="O165" s="636">
        <f t="shared" si="56"/>
        <v>0.91137752617007706</v>
      </c>
      <c r="P165" s="635">
        <f>IF($O$11,Weather_Site!H163,IF(0.191*(Weather_Site!K163+104)*(Weather_Site!J163+1)^1.5/(3.52*(Weather_Site!J163+1)^1.5+Weather_Site!I163-1)&gt;10, 10,0.191*(Weather_Site!K163+104)*(Weather_Site!J163+1)^1.5/(3.52*(Weather_Site!J163+1)^1.5+Weather_Site!I163-1)))</f>
        <v>9.1</v>
      </c>
      <c r="Q165" s="635">
        <f t="shared" si="57"/>
        <v>2.7114164895999977</v>
      </c>
      <c r="R165" s="636">
        <f t="shared" si="58"/>
        <v>0.10708736132514535</v>
      </c>
      <c r="S165" s="636">
        <f t="shared" si="59"/>
        <v>9.7597014448592145E-2</v>
      </c>
      <c r="T165" s="635">
        <f t="shared" si="60"/>
        <v>1</v>
      </c>
      <c r="U165" s="707">
        <f t="shared" si="61"/>
        <v>25.138673204251894</v>
      </c>
      <c r="V165" s="707">
        <f t="shared" si="62"/>
        <v>83.576061550162066</v>
      </c>
      <c r="W165" s="707">
        <f t="shared" si="63"/>
        <v>149.33527622937535</v>
      </c>
      <c r="X165" s="636">
        <f t="shared" si="64"/>
        <v>1</v>
      </c>
      <c r="Y165" s="636">
        <f t="shared" si="65"/>
        <v>0</v>
      </c>
      <c r="Z165" s="637">
        <f t="shared" si="66"/>
        <v>83.576061550162066</v>
      </c>
      <c r="AA165" s="635">
        <f t="shared" si="67"/>
        <v>1.7026267826829848</v>
      </c>
      <c r="AB165" s="707">
        <f t="shared" si="68"/>
        <v>17.606821764169979</v>
      </c>
      <c r="AC165" s="644"/>
    </row>
    <row r="166" spans="1:29"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9"/>
        <v>0</v>
      </c>
      <c r="I166" s="27">
        <f t="shared" si="51"/>
        <v>3.4</v>
      </c>
      <c r="J166" s="738">
        <f>IF(Weather_Site!M164&lt;180,Weather_Site!M164+180,Weather_Site!M164-180)</f>
        <v>270</v>
      </c>
      <c r="K166" s="635">
        <f t="shared" si="52"/>
        <v>4.3920200000000005</v>
      </c>
      <c r="L166" s="635">
        <f t="shared" si="53"/>
        <v>5.1334999999999997</v>
      </c>
      <c r="M166" s="635">
        <f t="shared" si="54"/>
        <v>5.0331799999999998</v>
      </c>
      <c r="N166" s="635">
        <f t="shared" si="55"/>
        <v>5.1334999999999997</v>
      </c>
      <c r="O166" s="636">
        <f t="shared" si="56"/>
        <v>0.94237878774224348</v>
      </c>
      <c r="P166" s="635">
        <f>IF($O$11,Weather_Site!H164,IF(0.191*(Weather_Site!K164+104)*(Weather_Site!J164+1)^1.5/(3.52*(Weather_Site!J164+1)^1.5+Weather_Site!I164-1)&gt;10, 10,0.191*(Weather_Site!K164+104)*(Weather_Site!J164+1)^1.5/(3.52*(Weather_Site!J164+1)^1.5+Weather_Site!I164-1)))</f>
        <v>9.1</v>
      </c>
      <c r="Q166" s="635">
        <f t="shared" si="57"/>
        <v>2.7114164895999977</v>
      </c>
      <c r="R166" s="636">
        <f t="shared" si="58"/>
        <v>0.10708736132514535</v>
      </c>
      <c r="S166" s="636">
        <f t="shared" si="59"/>
        <v>0.10091685774810608</v>
      </c>
      <c r="T166" s="635">
        <f t="shared" si="60"/>
        <v>1</v>
      </c>
      <c r="U166" s="707">
        <f t="shared" si="61"/>
        <v>25.993785999118849</v>
      </c>
      <c r="V166" s="707">
        <f t="shared" si="62"/>
        <v>86.41897052135009</v>
      </c>
      <c r="W166" s="707">
        <f t="shared" si="63"/>
        <v>154.41503936528864</v>
      </c>
      <c r="X166" s="636">
        <f t="shared" si="64"/>
        <v>1</v>
      </c>
      <c r="Y166" s="636">
        <f t="shared" si="65"/>
        <v>0</v>
      </c>
      <c r="Z166" s="637">
        <f t="shared" si="66"/>
        <v>86.41897052135009</v>
      </c>
      <c r="AA166" s="635">
        <f t="shared" si="67"/>
        <v>1.7443057674482523</v>
      </c>
      <c r="AB166" s="707">
        <f t="shared" si="68"/>
        <v>18.20573239263295</v>
      </c>
      <c r="AC166" s="644"/>
    </row>
    <row r="167" spans="1:29"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9"/>
        <v>0</v>
      </c>
      <c r="I167" s="27">
        <f t="shared" si="51"/>
        <v>3.6</v>
      </c>
      <c r="J167" s="738">
        <f>IF(Weather_Site!M165&lt;180,Weather_Site!M165+180,Weather_Site!M165-180)</f>
        <v>297</v>
      </c>
      <c r="K167" s="635">
        <f t="shared" si="52"/>
        <v>4.1711799999999988</v>
      </c>
      <c r="L167" s="635">
        <f t="shared" si="53"/>
        <v>4.8090999999999999</v>
      </c>
      <c r="M167" s="635">
        <f t="shared" si="54"/>
        <v>4.6584199999999996</v>
      </c>
      <c r="N167" s="635">
        <f t="shared" si="55"/>
        <v>4.1711799999999988</v>
      </c>
      <c r="O167" s="636">
        <f t="shared" si="56"/>
        <v>0.96697224328198683</v>
      </c>
      <c r="P167" s="635">
        <f>IF($O$11,Weather_Site!H165,IF(0.191*(Weather_Site!K165+104)*(Weather_Site!J165+1)^1.5/(3.52*(Weather_Site!J165+1)^1.5+Weather_Site!I165-1)&gt;10, 10,0.191*(Weather_Site!K165+104)*(Weather_Site!J165+1)^1.5/(3.52*(Weather_Site!J165+1)^1.5+Weather_Site!I165-1)))</f>
        <v>9.1</v>
      </c>
      <c r="Q167" s="635">
        <f t="shared" si="57"/>
        <v>2.7114164895999977</v>
      </c>
      <c r="R167" s="636">
        <f t="shared" si="58"/>
        <v>0.10708736132514535</v>
      </c>
      <c r="S167" s="636">
        <f t="shared" si="59"/>
        <v>0.10355050600772447</v>
      </c>
      <c r="T167" s="635">
        <f t="shared" si="60"/>
        <v>1</v>
      </c>
      <c r="U167" s="707">
        <f t="shared" si="61"/>
        <v>28.485755035649049</v>
      </c>
      <c r="V167" s="707">
        <f t="shared" si="62"/>
        <v>94.732787807677823</v>
      </c>
      <c r="W167" s="707">
        <f t="shared" si="63"/>
        <v>169.60940918659267</v>
      </c>
      <c r="X167" s="636">
        <f t="shared" si="64"/>
        <v>1</v>
      </c>
      <c r="Y167" s="636">
        <f t="shared" si="65"/>
        <v>0</v>
      </c>
      <c r="Z167" s="637">
        <f t="shared" si="66"/>
        <v>94.732787807677823</v>
      </c>
      <c r="AA167" s="635">
        <f t="shared" si="67"/>
        <v>1.864077548573295</v>
      </c>
      <c r="AB167" s="707">
        <f t="shared" si="68"/>
        <v>19.071667701658445</v>
      </c>
      <c r="AC167" s="644"/>
    </row>
    <row r="168" spans="1:29"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9"/>
        <v>0</v>
      </c>
      <c r="I168" s="27">
        <f t="shared" si="51"/>
        <v>3.8</v>
      </c>
      <c r="J168" s="738">
        <f>IF(Weather_Site!M166&lt;180,Weather_Site!M166+180,Weather_Site!M166-180)</f>
        <v>311</v>
      </c>
      <c r="K168" s="635">
        <f t="shared" si="52"/>
        <v>3.9044799999999995</v>
      </c>
      <c r="L168" s="635">
        <f t="shared" si="53"/>
        <v>4.4260999999999999</v>
      </c>
      <c r="M168" s="635">
        <f t="shared" si="54"/>
        <v>4.2141200000000003</v>
      </c>
      <c r="N168" s="635">
        <f t="shared" si="55"/>
        <v>3.9044799999999995</v>
      </c>
      <c r="O168" s="636">
        <f t="shared" si="56"/>
        <v>0.9925745975038085</v>
      </c>
      <c r="P168" s="635">
        <f>IF($O$11,Weather_Site!H166,IF(0.191*(Weather_Site!K166+104)*(Weather_Site!J166+1)^1.5/(3.52*(Weather_Site!J166+1)^1.5+Weather_Site!I166-1)&gt;10, 10,0.191*(Weather_Site!K166+104)*(Weather_Site!J166+1)^1.5/(3.52*(Weather_Site!J166+1)^1.5+Weather_Site!I166-1)))</f>
        <v>9.1</v>
      </c>
      <c r="Q168" s="635">
        <f t="shared" si="57"/>
        <v>2.7114164895999977</v>
      </c>
      <c r="R168" s="636">
        <f t="shared" si="58"/>
        <v>0.10708736132514535</v>
      </c>
      <c r="S168" s="636">
        <f t="shared" si="59"/>
        <v>0.10629219456505105</v>
      </c>
      <c r="T168" s="635">
        <f t="shared" si="60"/>
        <v>1</v>
      </c>
      <c r="U168" s="707">
        <f t="shared" si="61"/>
        <v>31.091051910925991</v>
      </c>
      <c r="V168" s="707">
        <f t="shared" si="62"/>
        <v>103.37702683965536</v>
      </c>
      <c r="W168" s="707">
        <f t="shared" si="63"/>
        <v>185.6827885184091</v>
      </c>
      <c r="X168" s="636">
        <f t="shared" si="64"/>
        <v>1</v>
      </c>
      <c r="Y168" s="636">
        <f t="shared" si="65"/>
        <v>0</v>
      </c>
      <c r="Z168" s="637">
        <f t="shared" si="66"/>
        <v>103.37702683965536</v>
      </c>
      <c r="AA168" s="635">
        <f t="shared" si="67"/>
        <v>1.9855591304436253</v>
      </c>
      <c r="AB168" s="707">
        <f t="shared" si="68"/>
        <v>19.92771741068227</v>
      </c>
      <c r="AC168" s="644"/>
    </row>
    <row r="169" spans="1:29"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9"/>
        <v>0</v>
      </c>
      <c r="I169" s="27">
        <f t="shared" si="51"/>
        <v>3.4</v>
      </c>
      <c r="J169" s="738">
        <f>IF(Weather_Site!M167&lt;180,Weather_Site!M167+180,Weather_Site!M167-180)</f>
        <v>356</v>
      </c>
      <c r="K169" s="635">
        <f t="shared" si="52"/>
        <v>3.8101999999999996</v>
      </c>
      <c r="L169" s="635">
        <f t="shared" si="53"/>
        <v>4.2898000000000005</v>
      </c>
      <c r="M169" s="635">
        <f t="shared" si="54"/>
        <v>4.0562000000000005</v>
      </c>
      <c r="N169" s="635">
        <f t="shared" si="55"/>
        <v>3.8101999999999996</v>
      </c>
      <c r="O169" s="636">
        <f t="shared" si="56"/>
        <v>1</v>
      </c>
      <c r="P169" s="635">
        <f>IF($O$11,Weather_Site!H167,IF(0.191*(Weather_Site!K167+104)*(Weather_Site!J167+1)^1.5/(3.52*(Weather_Site!J167+1)^1.5+Weather_Site!I167-1)&gt;10, 10,0.191*(Weather_Site!K167+104)*(Weather_Site!J167+1)^1.5/(3.52*(Weather_Site!J167+1)^1.5+Weather_Site!I167-1)))</f>
        <v>9.1</v>
      </c>
      <c r="Q169" s="635">
        <f t="shared" si="57"/>
        <v>2.7114164895999977</v>
      </c>
      <c r="R169" s="636">
        <f t="shared" si="58"/>
        <v>0.10708736132514535</v>
      </c>
      <c r="S169" s="636">
        <f t="shared" si="59"/>
        <v>0.10708736132514535</v>
      </c>
      <c r="T169" s="635">
        <f t="shared" si="60"/>
        <v>1</v>
      </c>
      <c r="U169" s="707">
        <f t="shared" si="61"/>
        <v>27.583161184469052</v>
      </c>
      <c r="V169" s="707">
        <f t="shared" si="62"/>
        <v>91.703009071748269</v>
      </c>
      <c r="W169" s="707">
        <f t="shared" si="63"/>
        <v>163.856658674626</v>
      </c>
      <c r="X169" s="636">
        <f t="shared" si="64"/>
        <v>1</v>
      </c>
      <c r="Y169" s="636">
        <f t="shared" si="65"/>
        <v>0</v>
      </c>
      <c r="Z169" s="637">
        <f t="shared" si="66"/>
        <v>91.703009071748269</v>
      </c>
      <c r="AA169" s="635">
        <f t="shared" si="67"/>
        <v>1.8207804384106816</v>
      </c>
      <c r="AB169" s="707">
        <f t="shared" si="68"/>
        <v>19.318911492320776</v>
      </c>
      <c r="AC169" s="644"/>
    </row>
    <row r="170" spans="1:29"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9"/>
        <v>0</v>
      </c>
      <c r="I170" s="27">
        <f t="shared" si="51"/>
        <v>3.6</v>
      </c>
      <c r="J170" s="738">
        <f>IF(Weather_Site!M168&lt;180,Weather_Site!M168+180,Weather_Site!M168-180)</f>
        <v>8</v>
      </c>
      <c r="K170" s="635">
        <f t="shared" si="52"/>
        <v>3.6997799999999996</v>
      </c>
      <c r="L170" s="635">
        <f t="shared" si="53"/>
        <v>4.1276000000000002</v>
      </c>
      <c r="M170" s="635">
        <f t="shared" si="54"/>
        <v>3.8688199999999999</v>
      </c>
      <c r="N170" s="635">
        <f t="shared" si="55"/>
        <v>3.6997799999999996</v>
      </c>
      <c r="O170" s="636">
        <f t="shared" si="56"/>
        <v>1</v>
      </c>
      <c r="P170" s="635">
        <f>IF($O$11,Weather_Site!H168,IF(0.191*(Weather_Site!K168+104)*(Weather_Site!J168+1)^1.5/(3.52*(Weather_Site!J168+1)^1.5+Weather_Site!I168-1)&gt;10, 10,0.191*(Weather_Site!K168+104)*(Weather_Site!J168+1)^1.5/(3.52*(Weather_Site!J168+1)^1.5+Weather_Site!I168-1)))</f>
        <v>9.1</v>
      </c>
      <c r="Q170" s="635">
        <f t="shared" si="57"/>
        <v>2.7114164895999977</v>
      </c>
      <c r="R170" s="636">
        <f t="shared" si="58"/>
        <v>0.10708736132514535</v>
      </c>
      <c r="S170" s="636">
        <f t="shared" si="59"/>
        <v>0.10708736132514535</v>
      </c>
      <c r="T170" s="635">
        <f t="shared" si="60"/>
        <v>1</v>
      </c>
      <c r="U170" s="707">
        <f t="shared" si="61"/>
        <v>29.458710147631486</v>
      </c>
      <c r="V170" s="707">
        <f t="shared" si="62"/>
        <v>97.968466484773757</v>
      </c>
      <c r="W170" s="707">
        <f t="shared" si="63"/>
        <v>175.40256234338617</v>
      </c>
      <c r="X170" s="636">
        <f t="shared" si="64"/>
        <v>1</v>
      </c>
      <c r="Y170" s="636">
        <f t="shared" si="65"/>
        <v>0</v>
      </c>
      <c r="Z170" s="637">
        <f t="shared" si="66"/>
        <v>97.968466484773757</v>
      </c>
      <c r="AA170" s="635">
        <f t="shared" si="67"/>
        <v>1.9098956870433235</v>
      </c>
      <c r="AB170" s="707">
        <f t="shared" si="68"/>
        <v>19.723076679975389</v>
      </c>
      <c r="AC170" s="644"/>
    </row>
    <row r="171" spans="1:29"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9"/>
        <v>0</v>
      </c>
      <c r="I171" s="27">
        <f t="shared" si="51"/>
        <v>3.4</v>
      </c>
      <c r="J171" s="738">
        <f>IF(Weather_Site!M169&lt;180,Weather_Site!M169+180,Weather_Site!M169-180)</f>
        <v>15</v>
      </c>
      <c r="K171" s="635">
        <f t="shared" si="52"/>
        <v>3.6625799999999993</v>
      </c>
      <c r="L171" s="635">
        <f t="shared" si="53"/>
        <v>4.0769000000000002</v>
      </c>
      <c r="M171" s="635">
        <f t="shared" si="54"/>
        <v>3.8094199999999998</v>
      </c>
      <c r="N171" s="635">
        <f t="shared" si="55"/>
        <v>3.6625799999999993</v>
      </c>
      <c r="O171" s="636">
        <f t="shared" si="56"/>
        <v>1</v>
      </c>
      <c r="P171" s="635">
        <f>IF($O$11,Weather_Site!H169,IF(0.191*(Weather_Site!K169+104)*(Weather_Site!J169+1)^1.5/(3.52*(Weather_Site!J169+1)^1.5+Weather_Site!I169-1)&gt;10, 10,0.191*(Weather_Site!K169+104)*(Weather_Site!J169+1)^1.5/(3.52*(Weather_Site!J169+1)^1.5+Weather_Site!I169-1)))</f>
        <v>9.1</v>
      </c>
      <c r="Q171" s="635">
        <f t="shared" si="57"/>
        <v>2.7114164895999977</v>
      </c>
      <c r="R171" s="636">
        <f t="shared" si="58"/>
        <v>0.10708736132514535</v>
      </c>
      <c r="S171" s="636">
        <f t="shared" si="59"/>
        <v>0.10708736132514535</v>
      </c>
      <c r="T171" s="635">
        <f t="shared" si="60"/>
        <v>1</v>
      </c>
      <c r="U171" s="707">
        <f t="shared" si="61"/>
        <v>27.583161184469052</v>
      </c>
      <c r="V171" s="707">
        <f t="shared" si="62"/>
        <v>91.703009071748269</v>
      </c>
      <c r="W171" s="707">
        <f t="shared" si="63"/>
        <v>163.856658674626</v>
      </c>
      <c r="X171" s="636">
        <f t="shared" si="64"/>
        <v>1</v>
      </c>
      <c r="Y171" s="636">
        <f t="shared" si="65"/>
        <v>0</v>
      </c>
      <c r="Z171" s="637">
        <f t="shared" si="66"/>
        <v>91.703009071748269</v>
      </c>
      <c r="AA171" s="635">
        <f t="shared" si="67"/>
        <v>1.8207804384106816</v>
      </c>
      <c r="AB171" s="707">
        <f t="shared" si="68"/>
        <v>19.318911492320776</v>
      </c>
      <c r="AC171" s="644"/>
    </row>
    <row r="172" spans="1:29"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9"/>
        <v>0</v>
      </c>
      <c r="I172" s="27">
        <f t="shared" si="51"/>
        <v>3.8</v>
      </c>
      <c r="J172" s="738">
        <f>IF(Weather_Site!M170&lt;180,Weather_Site!M170+180,Weather_Site!M170-180)</f>
        <v>11</v>
      </c>
      <c r="K172" s="635">
        <f t="shared" si="52"/>
        <v>3.7395399999999999</v>
      </c>
      <c r="L172" s="635">
        <f t="shared" si="53"/>
        <v>4.1974000000000009</v>
      </c>
      <c r="M172" s="635">
        <f t="shared" si="54"/>
        <v>3.9470600000000005</v>
      </c>
      <c r="N172" s="635">
        <f t="shared" si="55"/>
        <v>4.1974000000000009</v>
      </c>
      <c r="O172" s="636">
        <f t="shared" si="56"/>
        <v>1</v>
      </c>
      <c r="P172" s="635">
        <f>IF($O$11,Weather_Site!H170,IF(0.191*(Weather_Site!K170+104)*(Weather_Site!J170+1)^1.5/(3.52*(Weather_Site!J170+1)^1.5+Weather_Site!I170-1)&gt;10, 10,0.191*(Weather_Site!K170+104)*(Weather_Site!J170+1)^1.5/(3.52*(Weather_Site!J170+1)^1.5+Weather_Site!I170-1)))</f>
        <v>9.1</v>
      </c>
      <c r="Q172" s="635">
        <f t="shared" si="57"/>
        <v>2.7114164895999977</v>
      </c>
      <c r="R172" s="636">
        <f t="shared" si="58"/>
        <v>0.10708736132514535</v>
      </c>
      <c r="S172" s="636">
        <f t="shared" si="59"/>
        <v>0.10708736132514535</v>
      </c>
      <c r="T172" s="635">
        <f t="shared" si="60"/>
        <v>1</v>
      </c>
      <c r="U172" s="707">
        <f t="shared" si="61"/>
        <v>31.323642564615092</v>
      </c>
      <c r="V172" s="707">
        <f t="shared" si="62"/>
        <v>104.15038537116975</v>
      </c>
      <c r="W172" s="707">
        <f t="shared" si="63"/>
        <v>187.07187246719423</v>
      </c>
      <c r="X172" s="636">
        <f t="shared" si="64"/>
        <v>1</v>
      </c>
      <c r="Y172" s="636">
        <f t="shared" si="65"/>
        <v>0</v>
      </c>
      <c r="Z172" s="637">
        <f t="shared" si="66"/>
        <v>104.15038537116975</v>
      </c>
      <c r="AA172" s="635">
        <f t="shared" si="67"/>
        <v>1.9962873877990894</v>
      </c>
      <c r="AB172" s="707">
        <f t="shared" si="68"/>
        <v>20.076795699585499</v>
      </c>
      <c r="AC172" s="644"/>
    </row>
    <row r="173" spans="1:29"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9"/>
        <v>0</v>
      </c>
      <c r="I173" s="27">
        <f t="shared" si="51"/>
        <v>3.2</v>
      </c>
      <c r="J173" s="738">
        <f>IF(Weather_Site!M171&lt;180,Weather_Site!M171+180,Weather_Site!M171-180)</f>
        <v>5</v>
      </c>
      <c r="K173" s="635">
        <f t="shared" si="52"/>
        <v>3.8412999999999999</v>
      </c>
      <c r="L173" s="635">
        <f t="shared" si="53"/>
        <v>4.3517000000000001</v>
      </c>
      <c r="M173" s="635">
        <f t="shared" si="54"/>
        <v>4.1242999999999999</v>
      </c>
      <c r="N173" s="635">
        <f t="shared" si="55"/>
        <v>4.3517000000000001</v>
      </c>
      <c r="O173" s="636">
        <f t="shared" si="56"/>
        <v>0.99722823383044867</v>
      </c>
      <c r="P173" s="635">
        <f>IF($O$11,Weather_Site!H171,IF(0.191*(Weather_Site!K171+104)*(Weather_Site!J171+1)^1.5/(3.52*(Weather_Site!J171+1)^1.5+Weather_Site!I171-1)&gt;10, 10,0.191*(Weather_Site!K171+104)*(Weather_Site!J171+1)^1.5/(3.52*(Weather_Site!J171+1)^1.5+Weather_Site!I171-1)))</f>
        <v>9.1</v>
      </c>
      <c r="Q173" s="635">
        <f t="shared" si="57"/>
        <v>2.7114164895999977</v>
      </c>
      <c r="R173" s="636">
        <f t="shared" si="58"/>
        <v>0.10708736132514535</v>
      </c>
      <c r="S173" s="636">
        <f t="shared" si="59"/>
        <v>0.10679054019983779</v>
      </c>
      <c r="T173" s="635">
        <f t="shared" si="60"/>
        <v>1</v>
      </c>
      <c r="U173" s="707">
        <f t="shared" si="61"/>
        <v>25.624817265318427</v>
      </c>
      <c r="V173" s="707">
        <f t="shared" si="62"/>
        <v>85.109201420615847</v>
      </c>
      <c r="W173" s="707">
        <f t="shared" si="63"/>
        <v>152.01747769315776</v>
      </c>
      <c r="X173" s="636">
        <f t="shared" si="64"/>
        <v>1</v>
      </c>
      <c r="Y173" s="636">
        <f t="shared" si="65"/>
        <v>0</v>
      </c>
      <c r="Z173" s="637">
        <f t="shared" si="66"/>
        <v>85.109201420615847</v>
      </c>
      <c r="AA173" s="635">
        <f t="shared" si="67"/>
        <v>1.7251516051382134</v>
      </c>
      <c r="AB173" s="707">
        <f t="shared" si="68"/>
        <v>18.802845842306432</v>
      </c>
      <c r="AC173" s="644"/>
    </row>
    <row r="174" spans="1:29"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9"/>
        <v>0</v>
      </c>
      <c r="I174" s="27">
        <f t="shared" si="51"/>
        <v>3</v>
      </c>
      <c r="J174" s="738">
        <f>IF(Weather_Site!M172&lt;180,Weather_Site!M172+180,Weather_Site!M172-180)</f>
        <v>355</v>
      </c>
      <c r="K174" s="635">
        <f t="shared" si="52"/>
        <v>4.1192200000000003</v>
      </c>
      <c r="L174" s="635">
        <f t="shared" si="53"/>
        <v>4.7617000000000003</v>
      </c>
      <c r="M174" s="635">
        <f t="shared" si="54"/>
        <v>4.5975800000000007</v>
      </c>
      <c r="N174" s="635">
        <f t="shared" si="55"/>
        <v>4.5975800000000007</v>
      </c>
      <c r="O174" s="636">
        <f t="shared" si="56"/>
        <v>0.97071828363108825</v>
      </c>
      <c r="P174" s="635">
        <f>IF($O$11,Weather_Site!H172,IF(0.191*(Weather_Site!K172+104)*(Weather_Site!J172+1)^1.5/(3.52*(Weather_Site!J172+1)^1.5+Weather_Site!I172-1)&gt;10, 10,0.191*(Weather_Site!K172+104)*(Weather_Site!J172+1)^1.5/(3.52*(Weather_Site!J172+1)^1.5+Weather_Site!I172-1)))</f>
        <v>9.1</v>
      </c>
      <c r="Q174" s="635">
        <f t="shared" si="57"/>
        <v>2.7114164895999977</v>
      </c>
      <c r="R174" s="636">
        <f t="shared" si="58"/>
        <v>0.10708736132514535</v>
      </c>
      <c r="S174" s="636">
        <f t="shared" si="59"/>
        <v>0.10395165958412728</v>
      </c>
      <c r="T174" s="635">
        <f t="shared" si="60"/>
        <v>1</v>
      </c>
      <c r="U174" s="707">
        <f t="shared" si="61"/>
        <v>23.09941837997124</v>
      </c>
      <c r="V174" s="707">
        <f t="shared" si="62"/>
        <v>76.576873901317285</v>
      </c>
      <c r="W174" s="707">
        <f t="shared" si="63"/>
        <v>137.0257249139238</v>
      </c>
      <c r="X174" s="636">
        <f t="shared" si="64"/>
        <v>1</v>
      </c>
      <c r="Y174" s="636">
        <f t="shared" si="65"/>
        <v>0</v>
      </c>
      <c r="Z174" s="637">
        <f t="shared" si="66"/>
        <v>76.576873901317285</v>
      </c>
      <c r="AA174" s="635">
        <f t="shared" si="67"/>
        <v>1.5982946090936527</v>
      </c>
      <c r="AB174" s="707">
        <f t="shared" si="68"/>
        <v>17.783760775967785</v>
      </c>
      <c r="AC174" s="644"/>
    </row>
    <row r="175" spans="1:29"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9"/>
        <v>0</v>
      </c>
      <c r="I175" s="27">
        <f t="shared" si="51"/>
        <v>2.8</v>
      </c>
      <c r="J175" s="738">
        <f>IF(Weather_Site!M173&lt;180,Weather_Site!M173+180,Weather_Site!M173-180)</f>
        <v>355</v>
      </c>
      <c r="K175" s="635">
        <f t="shared" si="52"/>
        <v>4.6142399999999997</v>
      </c>
      <c r="L175" s="635">
        <f t="shared" si="53"/>
        <v>5.4871000000000008</v>
      </c>
      <c r="M175" s="635">
        <f t="shared" si="54"/>
        <v>5.4359599999999997</v>
      </c>
      <c r="N175" s="635">
        <f t="shared" si="55"/>
        <v>5.4359599999999997</v>
      </c>
      <c r="O175" s="636">
        <f t="shared" si="56"/>
        <v>0.9133398929331189</v>
      </c>
      <c r="P175" s="635">
        <f>IF($O$11,Weather_Site!H173,IF(0.191*(Weather_Site!K173+104)*(Weather_Site!J173+1)^1.5/(3.52*(Weather_Site!J173+1)^1.5+Weather_Site!I173-1)&gt;10, 10,0.191*(Weather_Site!K173+104)*(Weather_Site!J173+1)^1.5/(3.52*(Weather_Site!J173+1)^1.5+Weather_Site!I173-1)))</f>
        <v>9.1</v>
      </c>
      <c r="Q175" s="635">
        <f t="shared" si="57"/>
        <v>2.7114164895999977</v>
      </c>
      <c r="R175" s="636">
        <f t="shared" si="58"/>
        <v>0.10708736132514535</v>
      </c>
      <c r="S175" s="636">
        <f t="shared" si="59"/>
        <v>9.7807159127198465E-2</v>
      </c>
      <c r="T175" s="635">
        <f t="shared" si="60"/>
        <v>1</v>
      </c>
      <c r="U175" s="707">
        <f t="shared" si="61"/>
        <v>19.985979538048667</v>
      </c>
      <c r="V175" s="707">
        <f t="shared" si="62"/>
        <v>66.047342558620656</v>
      </c>
      <c r="W175" s="707">
        <f t="shared" si="63"/>
        <v>118.75358714908184</v>
      </c>
      <c r="X175" s="636">
        <f t="shared" si="64"/>
        <v>1</v>
      </c>
      <c r="Y175" s="636">
        <f t="shared" si="65"/>
        <v>0</v>
      </c>
      <c r="Z175" s="637">
        <f t="shared" si="66"/>
        <v>66.047342558620656</v>
      </c>
      <c r="AA175" s="635">
        <f t="shared" si="67"/>
        <v>1.4361826063076502</v>
      </c>
      <c r="AB175" s="707">
        <f t="shared" si="68"/>
        <v>16.165885685975294</v>
      </c>
      <c r="AC175" s="644"/>
    </row>
    <row r="176" spans="1:29"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9"/>
        <v>0</v>
      </c>
      <c r="I176" s="27">
        <f t="shared" si="51"/>
        <v>2.8</v>
      </c>
      <c r="J176" s="738">
        <f>IF(Weather_Site!M174&lt;180,Weather_Site!M174+180,Weather_Site!M174-180)</f>
        <v>335</v>
      </c>
      <c r="K176" s="635">
        <f t="shared" si="52"/>
        <v>5.1551199999999993</v>
      </c>
      <c r="L176" s="635">
        <f t="shared" si="53"/>
        <v>6.2711000000000006</v>
      </c>
      <c r="M176" s="635">
        <f t="shared" si="54"/>
        <v>6.3438799999999995</v>
      </c>
      <c r="N176" s="635">
        <f t="shared" si="55"/>
        <v>6.3438799999999995</v>
      </c>
      <c r="O176" s="636">
        <f t="shared" si="56"/>
        <v>0.8402011486895129</v>
      </c>
      <c r="P176" s="635">
        <f>IF($O$11,Weather_Site!H174,IF(0.191*(Weather_Site!K174+104)*(Weather_Site!J174+1)^1.5/(3.52*(Weather_Site!J174+1)^1.5+Weather_Site!I174-1)&gt;10, 10,0.191*(Weather_Site!K174+104)*(Weather_Site!J174+1)^1.5/(3.52*(Weather_Site!J174+1)^1.5+Weather_Site!I174-1)))</f>
        <v>9.1</v>
      </c>
      <c r="Q176" s="635">
        <f t="shared" si="57"/>
        <v>2.7114164895999977</v>
      </c>
      <c r="R176" s="636">
        <f t="shared" si="58"/>
        <v>0.10708736132514535</v>
      </c>
      <c r="S176" s="636">
        <f t="shared" si="59"/>
        <v>8.9974923995516043E-2</v>
      </c>
      <c r="T176" s="635">
        <f t="shared" si="60"/>
        <v>1</v>
      </c>
      <c r="U176" s="707">
        <f t="shared" si="61"/>
        <v>18.385535434816749</v>
      </c>
      <c r="V176" s="707">
        <f t="shared" si="62"/>
        <v>60.758380877716043</v>
      </c>
      <c r="W176" s="707">
        <f t="shared" si="63"/>
        <v>109.24399679207387</v>
      </c>
      <c r="X176" s="636">
        <f t="shared" si="64"/>
        <v>1</v>
      </c>
      <c r="Y176" s="636">
        <f t="shared" si="65"/>
        <v>0</v>
      </c>
      <c r="Z176" s="637">
        <f t="shared" si="66"/>
        <v>60.758380877716043</v>
      </c>
      <c r="AA176" s="635">
        <f t="shared" si="67"/>
        <v>1.3520773037097917</v>
      </c>
      <c r="AB176" s="707">
        <f t="shared" si="68"/>
        <v>14.871348364430204</v>
      </c>
      <c r="AC176" s="644"/>
    </row>
    <row r="177" spans="1:29"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9"/>
        <v>0</v>
      </c>
      <c r="I177" s="27">
        <f t="shared" si="51"/>
        <v>3</v>
      </c>
      <c r="J177" s="738">
        <f>IF(Weather_Site!M175&lt;180,Weather_Site!M175+180,Weather_Site!M175-180)</f>
        <v>332</v>
      </c>
      <c r="K177" s="635">
        <f t="shared" si="52"/>
        <v>5.6581099999999998</v>
      </c>
      <c r="L177" s="635">
        <f t="shared" si="53"/>
        <v>6.9897999999999998</v>
      </c>
      <c r="M177" s="635">
        <f t="shared" si="54"/>
        <v>7.1783900000000003</v>
      </c>
      <c r="N177" s="635">
        <f t="shared" si="55"/>
        <v>7.1783900000000003</v>
      </c>
      <c r="O177" s="636">
        <f t="shared" si="56"/>
        <v>0.76677587506233624</v>
      </c>
      <c r="P177" s="635">
        <f>IF($O$11,Weather_Site!H175,IF(0.191*(Weather_Site!K175+104)*(Weather_Site!J175+1)^1.5/(3.52*(Weather_Site!J175+1)^1.5+Weather_Site!I175-1)&gt;10, 10,0.191*(Weather_Site!K175+104)*(Weather_Site!J175+1)^1.5/(3.52*(Weather_Site!J175+1)^1.5+Weather_Site!I175-1)))</f>
        <v>9.1</v>
      </c>
      <c r="Q177" s="635">
        <f t="shared" si="57"/>
        <v>2.7114164895999977</v>
      </c>
      <c r="R177" s="636">
        <f t="shared" si="58"/>
        <v>0.10708736132514535</v>
      </c>
      <c r="S177" s="636">
        <f t="shared" si="59"/>
        <v>8.2112005188204912E-2</v>
      </c>
      <c r="T177" s="635">
        <f t="shared" si="60"/>
        <v>1</v>
      </c>
      <c r="U177" s="707">
        <f t="shared" si="61"/>
        <v>18.246361524663275</v>
      </c>
      <c r="V177" s="707">
        <f t="shared" si="62"/>
        <v>60.488506794764014</v>
      </c>
      <c r="W177" s="707">
        <f t="shared" si="63"/>
        <v>108.23739688296108</v>
      </c>
      <c r="X177" s="636">
        <f t="shared" si="64"/>
        <v>1</v>
      </c>
      <c r="Y177" s="636">
        <f t="shared" si="65"/>
        <v>0</v>
      </c>
      <c r="Z177" s="637">
        <f t="shared" si="66"/>
        <v>60.488506794764014</v>
      </c>
      <c r="AA177" s="635">
        <f t="shared" si="67"/>
        <v>1.3477325776150806</v>
      </c>
      <c r="AB177" s="707">
        <f t="shared" si="68"/>
        <v>14.047493449782632</v>
      </c>
      <c r="AC177" s="644"/>
    </row>
    <row r="178" spans="1:29"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9"/>
        <v>0</v>
      </c>
      <c r="I178" s="27">
        <f t="shared" si="51"/>
        <v>2.8</v>
      </c>
      <c r="J178" s="738">
        <f>IF(Weather_Site!M176&lt;180,Weather_Site!M176+180,Weather_Site!M176-180)</f>
        <v>340</v>
      </c>
      <c r="K178" s="635">
        <f t="shared" si="52"/>
        <v>6.2249699999999999</v>
      </c>
      <c r="L178" s="635">
        <f t="shared" si="53"/>
        <v>7.7975000000000012</v>
      </c>
      <c r="M178" s="635">
        <f t="shared" si="54"/>
        <v>8.1167300000000004</v>
      </c>
      <c r="N178" s="635">
        <f t="shared" si="55"/>
        <v>8.1167300000000004</v>
      </c>
      <c r="O178" s="636">
        <f t="shared" si="56"/>
        <v>0.68119911546405676</v>
      </c>
      <c r="P178" s="635">
        <f>IF($O$11,Weather_Site!H176,IF(0.191*(Weather_Site!K176+104)*(Weather_Site!J176+1)^1.5/(3.52*(Weather_Site!J176+1)^1.5+Weather_Site!I176-1)&gt;10, 10,0.191*(Weather_Site!K176+104)*(Weather_Site!J176+1)^1.5/(3.52*(Weather_Site!J176+1)^1.5+Weather_Site!I176-1)))</f>
        <v>9.1</v>
      </c>
      <c r="Q178" s="635">
        <f t="shared" si="57"/>
        <v>2.7114164895999977</v>
      </c>
      <c r="R178" s="636">
        <f t="shared" si="58"/>
        <v>0.10708736132514535</v>
      </c>
      <c r="S178" s="636">
        <f t="shared" si="59"/>
        <v>7.2947815812068856E-2</v>
      </c>
      <c r="T178" s="635">
        <f t="shared" si="60"/>
        <v>1</v>
      </c>
      <c r="U178" s="707">
        <f t="shared" si="61"/>
        <v>14.906204895178531</v>
      </c>
      <c r="V178" s="707">
        <f t="shared" si="62"/>
        <v>49.260293651684968</v>
      </c>
      <c r="W178" s="707">
        <f t="shared" si="63"/>
        <v>88.570354968675403</v>
      </c>
      <c r="X178" s="636">
        <f t="shared" si="64"/>
        <v>1</v>
      </c>
      <c r="Y178" s="636">
        <f t="shared" si="65"/>
        <v>0</v>
      </c>
      <c r="Z178" s="637">
        <f t="shared" si="66"/>
        <v>49.260293651684968</v>
      </c>
      <c r="AA178" s="635">
        <f t="shared" si="67"/>
        <v>1.1617951904453794</v>
      </c>
      <c r="AB178" s="707">
        <f t="shared" si="68"/>
        <v>12.057052489642883</v>
      </c>
      <c r="AC178" s="644"/>
    </row>
    <row r="179" spans="1:29"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9"/>
        <v>0</v>
      </c>
      <c r="I179" s="27">
        <f t="shared" si="51"/>
        <v>3</v>
      </c>
      <c r="J179" s="738">
        <f>IF(Weather_Site!M177&lt;180,Weather_Site!M177+180,Weather_Site!M177-180)</f>
        <v>10</v>
      </c>
      <c r="K179" s="635">
        <f t="shared" si="52"/>
        <v>6.6783599999999996</v>
      </c>
      <c r="L179" s="635">
        <f t="shared" si="53"/>
        <v>8.4486000000000008</v>
      </c>
      <c r="M179" s="635">
        <f t="shared" si="54"/>
        <v>8.8720400000000001</v>
      </c>
      <c r="N179" s="635">
        <f t="shared" si="55"/>
        <v>8.8720400000000001</v>
      </c>
      <c r="O179" s="636">
        <f t="shared" si="56"/>
        <v>0.61256725255012257</v>
      </c>
      <c r="P179" s="635">
        <f>IF($O$11,Weather_Site!H177,IF(0.191*(Weather_Site!K177+104)*(Weather_Site!J177+1)^1.5/(3.52*(Weather_Site!J177+1)^1.5+Weather_Site!I177-1)&gt;10, 10,0.191*(Weather_Site!K177+104)*(Weather_Site!J177+1)^1.5/(3.52*(Weather_Site!J177+1)^1.5+Weather_Site!I177-1)))</f>
        <v>9.1</v>
      </c>
      <c r="Q179" s="635">
        <f t="shared" si="57"/>
        <v>2.7114164895999977</v>
      </c>
      <c r="R179" s="636">
        <f t="shared" si="58"/>
        <v>0.10708736132514535</v>
      </c>
      <c r="S179" s="636">
        <f t="shared" si="59"/>
        <v>6.5598210709786539E-2</v>
      </c>
      <c r="T179" s="635">
        <f t="shared" si="60"/>
        <v>1</v>
      </c>
      <c r="U179" s="707">
        <f t="shared" si="61"/>
        <v>14.576780401822873</v>
      </c>
      <c r="V179" s="707">
        <f t="shared" si="62"/>
        <v>48.323479680572511</v>
      </c>
      <c r="W179" s="707">
        <f t="shared" si="63"/>
        <v>86.469445620446123</v>
      </c>
      <c r="X179" s="636">
        <f t="shared" si="64"/>
        <v>1</v>
      </c>
      <c r="Y179" s="636">
        <f t="shared" si="65"/>
        <v>0</v>
      </c>
      <c r="Z179" s="637">
        <f t="shared" si="66"/>
        <v>48.323479680572511</v>
      </c>
      <c r="AA179" s="635">
        <f t="shared" si="67"/>
        <v>1.1457783823019194</v>
      </c>
      <c r="AB179" s="707">
        <f t="shared" si="68"/>
        <v>11.222359424192408</v>
      </c>
      <c r="AC179" s="644"/>
    </row>
    <row r="180" spans="1:29" x14ac:dyDescent="0.25">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xdxOTQdK1lXbbkYZD+kX0w7Z6gDPpZSPJyhvc4818pB1QrB2F+z8d3l6Sq0Hseux4ILLB3c11W1AZj/fvldBKw==" saltValue="3LunbVT2ZLmZPFt4m6x0ZA=="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5">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14" si="0">10^(0.009254-0.004096*(100-$C$4)^1.536+0.01201*D10+0.2789*G10^0.5-0.09577*E10^0.5)</f>
        <v>3.6549925669318051</v>
      </c>
      <c r="J10" s="61">
        <f t="shared" ref="J10:J14" si="1">-0.19625*D10+0.1356*E10+9.575</f>
        <v>8.2521399999999971</v>
      </c>
      <c r="K10" s="30">
        <f t="shared" ref="K10:K14" si="2">EXP(-0.108*J10)</f>
        <v>0.41015049732086667</v>
      </c>
      <c r="L10" s="30">
        <f t="shared" ref="L10:L14" si="3">MAX(0.001,(0.684-0.0342*J10))</f>
        <v>0.40177681200000015</v>
      </c>
      <c r="M10" s="30">
        <f t="shared" ref="M10:M14" si="4">MAX(0.001,(0.547-0.0228*J10))</f>
        <v>0.35885120800000009</v>
      </c>
      <c r="N10" s="30">
        <f t="shared" ref="N10:N14" si="5">IF(J10&lt;12,K10,IF(G10&gt;10,M10,L10))</f>
        <v>0.41015049732086667</v>
      </c>
      <c r="O10" s="31">
        <f t="shared" ref="O10:O14" si="6">1.036/(1+103.98*EXP(-0.0996*($C$4-20)))</f>
        <v>0.8927606399389324</v>
      </c>
      <c r="P10" s="30">
        <f t="shared" ref="P10:P14" si="7">(0.054+0.269*G10)*N10*O10</f>
        <v>1.300256248851501</v>
      </c>
      <c r="Q10" s="62">
        <f t="shared" ref="Q10:Q14" si="8">(1.4+0.838*(G10-5)^0.844)*N10*O10</f>
        <v>2.287354348939044</v>
      </c>
      <c r="R10" s="62">
        <f t="shared" ref="R10:R14" si="9">(0.054+0.209*G10)*N10*O10</f>
        <v>1.0146465968931313</v>
      </c>
      <c r="S10" s="62">
        <f t="shared" ref="S10:S14" si="10">(1.1+0.715*(G10-5)^0.844)*N10*O10</f>
        <v>1.9170143136408448</v>
      </c>
      <c r="T10" s="62">
        <f t="shared" ref="T10:T14" si="11">(0.55+0.357*(G10-5)^0.844)*N10*O10</f>
        <v>0.95744825369375408</v>
      </c>
      <c r="U10" s="419">
        <f t="shared" ref="U10:U14" si="12">$C$5</f>
        <v>0</v>
      </c>
      <c r="V10" s="63">
        <f t="shared" ref="V10:V14" si="13">IF(G10&lt;5,P10*1000,Q10*1000)</f>
        <v>2287.354348939044</v>
      </c>
      <c r="W10" s="42">
        <f t="shared" ref="W10:W14" si="14">V10*1.0715^U10</f>
        <v>2287.354348939044</v>
      </c>
      <c r="X10" s="63">
        <f t="shared" ref="X10:X14" si="15">(0.054+0.269*5)*N10*O10*1000</f>
        <v>512.26654242276823</v>
      </c>
      <c r="Y10" s="65">
        <f t="shared" ref="Y10:Y14" si="16">(0.003595*55.816+101.04*(W10/1000)^0.3167)/(55.816+(W10/1000)^0.3167)</f>
        <v>2.3025170469990059</v>
      </c>
      <c r="Z10" s="42">
        <f t="shared" ref="Z10:Z14" si="17">516.7*W10*6/1000</f>
        <v>7091.2559525808247</v>
      </c>
      <c r="AA10" s="42">
        <f t="shared" ref="AA10:AA14" si="18">IF($G10&lt;5,$R10*1000,$S10*1000)</f>
        <v>1917.0143136408449</v>
      </c>
      <c r="AB10" s="42">
        <f t="shared" ref="AB10:AB14" si="19">$AA10*1.0715^U10</f>
        <v>1917.0143136408449</v>
      </c>
      <c r="AC10" s="42">
        <f t="shared" ref="AC10:AC14" si="20">(0.054+0.209*5)*$N10*$O10*1000</f>
        <v>402.41667628493366</v>
      </c>
      <c r="AD10" s="65">
        <f t="shared" ref="AD10:AD14" si="21">(0.001316*149.4025+117.22*($AB10/1000)^0.3141)/(149.4025+($AB10/1000)^0.3141)</f>
        <v>0.95600081965800343</v>
      </c>
      <c r="AE10" s="42">
        <f t="shared" ref="AE10:AE14" si="22">516.7*$AB10*4/1000</f>
        <v>3962.0851834328987</v>
      </c>
      <c r="AF10" s="42">
        <f t="shared" ref="AF10:AF14" si="23">IF(G10&lt;5,0,T10*1000)</f>
        <v>957.44825369375405</v>
      </c>
      <c r="AG10" s="42">
        <f t="shared" ref="AG10:AG14" si="24">AF10*1.0715^U10</f>
        <v>957.44825369375405</v>
      </c>
      <c r="AH10" s="42">
        <f t="shared" ref="AH10:AH14" si="25">(0.55+0.357*(5-5)^0.844)*N10*O10*1000</f>
        <v>201.39142125269657</v>
      </c>
      <c r="AI10" s="65">
        <f t="shared" ref="AI10:AI14" si="26">1/(32.915-29.388*(AG10/1000)^0.02969)</f>
        <v>0.28051149831498062</v>
      </c>
      <c r="AJ10" s="42">
        <f t="shared" ref="AJ10:AJ14" si="27">516.7*AG10*1.5/1000</f>
        <v>742.07026902534415</v>
      </c>
      <c r="AK10" s="42">
        <f t="shared" ref="AK10:AK14" si="28">IF($G10&lt;5,$R10*1000*0.7,$S10*1000*0.7)</f>
        <v>1341.9100195485914</v>
      </c>
      <c r="AL10" s="42">
        <f t="shared" ref="AL10:AL14" si="29">AK10*1.0715^U10</f>
        <v>1341.9100195485914</v>
      </c>
      <c r="AM10" s="42">
        <f t="shared" ref="AM10:AM14" si="30">(0.054+0.209*5)*$N10*$O10*1000</f>
        <v>402.41667628493366</v>
      </c>
      <c r="AN10" s="65">
        <f t="shared" ref="AN10:AN14" si="31">(0.001316*149.4025+117.22*(AL10/1000)^0.3141)/(149.4025+(AL10/1000)^0.3141)</f>
        <v>0.85555687687797688</v>
      </c>
      <c r="AO10" s="42">
        <f t="shared" ref="AO10:AO14" si="32">516.7*AL10*4/1000</f>
        <v>2773.459628403029</v>
      </c>
      <c r="AP10" s="42">
        <f t="shared" ref="AP10:AP14" si="33">IF($G10&lt;5,$R10*1000*0.5,$S10*1000*0.5)</f>
        <v>958.50715682042244</v>
      </c>
      <c r="AQ10" s="42">
        <f t="shared" ref="AQ10:AQ14" si="34">AP10*1.0715^U10</f>
        <v>958.50715682042244</v>
      </c>
      <c r="AR10" s="42">
        <f t="shared" ref="AR10:AR14" si="35">(0.054+0.209*5)*$N10*$O10*1000</f>
        <v>402.41667628493366</v>
      </c>
      <c r="AS10" s="65">
        <f t="shared" ref="AS10:AS14" si="36">(0.001316*149.4025+117.22*(AQ10/1000)^0.3141)/(149.4025+(AQ10/1000)^0.3141)</f>
        <v>0.77044479654553111</v>
      </c>
      <c r="AT10" s="42">
        <f t="shared" ref="AT10:AT14" si="37">516.7*AQ10*4/1000</f>
        <v>1981.0425917164494</v>
      </c>
    </row>
    <row r="11" spans="1:46" x14ac:dyDescent="0.25">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5">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5">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5">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5">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5">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5">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5">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5">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5">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5">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5">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5">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5">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5">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5">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40" si="0">G36/1.35</f>
        <v>9.6296296296296298</v>
      </c>
      <c r="J36" s="548"/>
      <c r="K36" s="32">
        <f t="shared" ref="K36:K40" si="1">IF(J36&gt;0,(0.412*J36+0.311*$E$5-0.676*$E$6-4.073),(0.412*I36+0.311*$E$5-0.676*$E$6-4.073))</f>
        <v>2.1944074074074038</v>
      </c>
      <c r="L36" s="32">
        <f t="shared" ref="L36:L40" si="2">IF(K36&gt;0,(1/(1+EXP(-K36))),0)</f>
        <v>0.89974616884007863</v>
      </c>
      <c r="M36" s="533">
        <f t="shared" ref="M36:M40" si="3">MAX((IF(L36&gt;0.5,IF(J36&gt;0,(40.982*(J36^1.399*$E$5^1.201)/$E$6^1.699),(40.982*(I36^1.399*$E$5^1.201)/$E$6^1.699)),0)),0)</f>
        <v>821.40616328387352</v>
      </c>
      <c r="N36" s="32">
        <f t="shared" ref="N36:N40" si="4">IF(M36&gt;0,((0.097*M36^0.424)+0.102*$E$7),0)</f>
        <v>2.1793381097404616</v>
      </c>
      <c r="O36" s="402">
        <f t="shared" ref="O36:O40" si="5">M36/1000*$E$7*516.7</f>
        <v>2122.1028228438872</v>
      </c>
    </row>
    <row r="37" spans="1:15" x14ac:dyDescent="0.25">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5">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5">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5">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5">
      <c r="A41" s="544"/>
      <c r="B41" s="545"/>
      <c r="C41" s="546"/>
      <c r="D41" s="544"/>
      <c r="E41" s="544"/>
      <c r="F41" s="544"/>
      <c r="G41" s="544"/>
      <c r="H41" s="547"/>
      <c r="I41" s="541"/>
      <c r="J41" s="548"/>
      <c r="K41" s="481"/>
      <c r="L41" s="481"/>
      <c r="M41" s="542"/>
      <c r="N41" s="481"/>
      <c r="O41" s="543"/>
    </row>
    <row r="42" spans="1:15" x14ac:dyDescent="0.25">
      <c r="A42" s="544"/>
      <c r="B42" s="545"/>
      <c r="C42" s="546"/>
      <c r="D42" s="544"/>
      <c r="E42" s="544"/>
      <c r="F42" s="544"/>
      <c r="G42" s="544"/>
      <c r="H42" s="547"/>
      <c r="I42" s="541"/>
      <c r="J42" s="548"/>
      <c r="K42" s="481"/>
      <c r="L42" s="481"/>
      <c r="M42" s="542"/>
      <c r="N42" s="481"/>
      <c r="O42" s="543"/>
    </row>
    <row r="43" spans="1:15" x14ac:dyDescent="0.25">
      <c r="A43" s="544"/>
      <c r="B43" s="545"/>
      <c r="C43" s="546"/>
      <c r="D43" s="544"/>
      <c r="E43" s="544"/>
      <c r="F43" s="544"/>
      <c r="G43" s="544"/>
      <c r="H43" s="547"/>
      <c r="I43" s="541"/>
      <c r="J43" s="548"/>
      <c r="K43" s="481"/>
      <c r="L43" s="481"/>
      <c r="M43" s="542"/>
      <c r="N43" s="481"/>
      <c r="O43" s="543"/>
    </row>
    <row r="44" spans="1:15" x14ac:dyDescent="0.25">
      <c r="A44" s="544"/>
      <c r="B44" s="545"/>
      <c r="C44" s="546"/>
      <c r="D44" s="544"/>
      <c r="E44" s="544"/>
      <c r="F44" s="544"/>
      <c r="G44" s="544"/>
      <c r="H44" s="547"/>
      <c r="I44" s="541"/>
      <c r="J44" s="548"/>
      <c r="K44" s="481"/>
      <c r="L44" s="481"/>
      <c r="M44" s="542"/>
      <c r="N44" s="481"/>
      <c r="O44" s="543"/>
    </row>
    <row r="45" spans="1:15" x14ac:dyDescent="0.25">
      <c r="A45" s="529"/>
      <c r="B45" s="530"/>
      <c r="C45" s="531"/>
      <c r="D45" s="529"/>
      <c r="E45" s="529"/>
      <c r="F45" s="529"/>
      <c r="G45" s="529"/>
      <c r="H45" s="27"/>
      <c r="I45" s="33"/>
      <c r="J45" s="548"/>
      <c r="K45" s="32"/>
      <c r="L45" s="32"/>
      <c r="M45" s="533"/>
      <c r="N45" s="32"/>
      <c r="O45" s="402"/>
    </row>
    <row r="46" spans="1:15" x14ac:dyDescent="0.25">
      <c r="A46" s="529"/>
      <c r="B46" s="530"/>
      <c r="C46" s="531"/>
      <c r="D46" s="529"/>
      <c r="E46" s="529"/>
      <c r="F46" s="529"/>
      <c r="G46" s="529"/>
      <c r="H46" s="27"/>
      <c r="I46" s="33"/>
      <c r="J46" s="548"/>
      <c r="K46" s="32"/>
      <c r="L46" s="32"/>
      <c r="M46" s="533"/>
      <c r="N46" s="32"/>
      <c r="O46" s="402"/>
    </row>
    <row r="47" spans="1:15" x14ac:dyDescent="0.25">
      <c r="A47" s="529"/>
      <c r="B47" s="530"/>
      <c r="C47" s="531"/>
      <c r="D47" s="529"/>
      <c r="E47" s="529"/>
      <c r="F47" s="529"/>
      <c r="G47" s="529"/>
      <c r="H47" s="27"/>
      <c r="I47" s="33"/>
      <c r="J47" s="548"/>
      <c r="K47" s="32"/>
      <c r="L47" s="32"/>
      <c r="M47" s="533"/>
      <c r="N47" s="32"/>
      <c r="O47" s="402"/>
    </row>
    <row r="48" spans="1:15" x14ac:dyDescent="0.25">
      <c r="A48" s="529"/>
      <c r="B48" s="530"/>
      <c r="C48" s="531"/>
      <c r="D48" s="529"/>
      <c r="E48" s="529"/>
      <c r="F48" s="529"/>
      <c r="G48" s="529"/>
      <c r="H48" s="27"/>
      <c r="I48" s="33"/>
      <c r="J48" s="548"/>
      <c r="K48" s="32"/>
      <c r="L48" s="32"/>
      <c r="M48" s="533"/>
      <c r="N48" s="32"/>
      <c r="O48" s="402"/>
    </row>
    <row r="49" spans="1:15" x14ac:dyDescent="0.25">
      <c r="A49" s="529"/>
      <c r="B49" s="530"/>
      <c r="C49" s="531"/>
      <c r="D49" s="529"/>
      <c r="E49" s="529"/>
      <c r="F49" s="529"/>
      <c r="G49" s="529"/>
      <c r="H49" s="27"/>
      <c r="I49" s="33"/>
      <c r="J49" s="548"/>
      <c r="K49" s="32"/>
      <c r="L49" s="32"/>
      <c r="M49" s="533"/>
      <c r="N49" s="32"/>
      <c r="O49" s="402"/>
    </row>
    <row r="50" spans="1:15" x14ac:dyDescent="0.25">
      <c r="A50" s="544"/>
      <c r="B50" s="545"/>
      <c r="C50" s="546"/>
      <c r="D50" s="544"/>
      <c r="E50" s="544"/>
      <c r="F50" s="544"/>
      <c r="G50" s="544"/>
      <c r="H50" s="547"/>
      <c r="I50" s="541"/>
      <c r="J50" s="548"/>
      <c r="K50" s="481"/>
      <c r="L50" s="481"/>
      <c r="M50" s="542"/>
      <c r="N50" s="481"/>
      <c r="O50" s="543"/>
    </row>
    <row r="51" spans="1:15" x14ac:dyDescent="0.25">
      <c r="A51" s="544"/>
      <c r="B51" s="545"/>
      <c r="C51" s="546"/>
      <c r="D51" s="544"/>
      <c r="E51" s="544"/>
      <c r="F51" s="544"/>
      <c r="G51" s="544"/>
      <c r="H51" s="547"/>
      <c r="I51" s="541"/>
      <c r="J51" s="548"/>
      <c r="K51" s="481"/>
      <c r="L51" s="481"/>
      <c r="M51" s="542"/>
      <c r="N51" s="481"/>
      <c r="O51" s="543"/>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4" si="0">49*(G10*0.67)^1.21*$C$4^0.54</f>
        <v>672.38504835849926</v>
      </c>
      <c r="J10" s="484">
        <f t="shared" ref="J10:J14" si="1">516*I10/1000*(2.5*C$4+2)</f>
        <v>1561.2780822884354</v>
      </c>
      <c r="K10" s="32">
        <f t="shared" ref="K10:K14" si="2">4.37+0.161*E10-0.1*(D10-25)-(0.027*E10*(IF(AND(AND(C10&gt;0.49,C10&lt;0.7),OR(MONTH(B10&gt;9),MONTH(B10&lt;4))),1,0)))</f>
        <v>8.4384000000000015</v>
      </c>
      <c r="L10" s="63">
        <f t="shared" ref="L10:L14" si="3">IF(G10&gt;=5,(5.67*(0.67*G10)^0.91*$C$4^0.22*EXP(-0.076*K10)),((5+0.2*(5.67*(5*0.67)^0.91-5)*G10)*$C$4^0.22*EXP(-0.076*K10)))*60</f>
        <v>1284.1914912893872</v>
      </c>
      <c r="M10" s="63">
        <f t="shared" ref="M10:M14" si="4">IF(G10&gt;=5,(5.67*(0.35*G10)^0.91*$C$4^0.22*EXP(-0.076*K10)),((5+0.2*(5.67*(5*0.35)^0.91-5)*G10)*$C$4^0.22*EXP(-0.076*K10)))*60</f>
        <v>711.21947132821992</v>
      </c>
    </row>
    <row r="11" spans="1:13"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5">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5">
      <c r="A15" s="50"/>
      <c r="B15" s="76"/>
      <c r="C15" s="77"/>
      <c r="D15" s="50"/>
      <c r="E15" s="50"/>
      <c r="F15" s="50"/>
      <c r="G15" s="50"/>
      <c r="H15" s="48"/>
      <c r="I15" s="480"/>
      <c r="J15" s="485"/>
      <c r="K15" s="481"/>
      <c r="L15" s="482"/>
      <c r="M15" s="482"/>
    </row>
    <row r="16" spans="1:13" x14ac:dyDescent="0.25">
      <c r="A16" s="50"/>
      <c r="B16" s="76"/>
      <c r="C16" s="77"/>
      <c r="D16" s="50"/>
      <c r="E16" s="50"/>
      <c r="F16" s="50"/>
      <c r="G16" s="50"/>
      <c r="H16" s="48"/>
      <c r="I16" s="480"/>
      <c r="J16" s="485"/>
      <c r="K16" s="481"/>
      <c r="L16" s="482"/>
      <c r="M16" s="482"/>
    </row>
    <row r="17" spans="1:13" x14ac:dyDescent="0.25">
      <c r="A17" s="50"/>
      <c r="B17" s="76"/>
      <c r="C17" s="77"/>
      <c r="D17" s="50"/>
      <c r="E17" s="50"/>
      <c r="F17" s="50"/>
      <c r="G17" s="50"/>
      <c r="H17" s="48"/>
      <c r="I17" s="480"/>
      <c r="J17" s="485"/>
      <c r="K17" s="481"/>
      <c r="L17" s="482"/>
      <c r="M17" s="482"/>
    </row>
    <row r="18" spans="1:13" x14ac:dyDescent="0.25">
      <c r="A18" s="50"/>
      <c r="B18" s="76"/>
      <c r="C18" s="77"/>
      <c r="D18" s="50"/>
      <c r="E18" s="50"/>
      <c r="F18" s="50"/>
      <c r="G18" s="50"/>
      <c r="H18" s="48"/>
      <c r="I18" s="480"/>
      <c r="J18" s="485"/>
      <c r="K18" s="481"/>
      <c r="L18" s="482"/>
      <c r="M18" s="482"/>
    </row>
    <row r="19" spans="1:13" x14ac:dyDescent="0.25">
      <c r="A19" s="29"/>
      <c r="B19" s="74"/>
      <c r="C19" s="75"/>
      <c r="D19" s="29"/>
      <c r="E19" s="29"/>
      <c r="F19" s="29"/>
      <c r="G19" s="29"/>
      <c r="H19" s="27"/>
      <c r="I19" s="42"/>
      <c r="J19" s="484"/>
      <c r="K19" s="32"/>
      <c r="L19" s="63"/>
      <c r="M19" s="63"/>
    </row>
    <row r="20" spans="1:13" x14ac:dyDescent="0.25">
      <c r="A20" s="29"/>
      <c r="B20" s="74"/>
      <c r="C20" s="75"/>
      <c r="D20" s="29"/>
      <c r="E20" s="29"/>
      <c r="F20" s="29"/>
      <c r="G20" s="29"/>
      <c r="H20" s="27"/>
      <c r="I20" s="42"/>
      <c r="J20" s="484"/>
      <c r="K20" s="32"/>
      <c r="L20" s="63"/>
      <c r="M20" s="63"/>
    </row>
    <row r="21" spans="1:13" x14ac:dyDescent="0.25">
      <c r="A21" s="29"/>
      <c r="B21" s="74"/>
      <c r="C21" s="75"/>
      <c r="D21" s="29"/>
      <c r="E21" s="29"/>
      <c r="F21" s="29"/>
      <c r="G21" s="29"/>
      <c r="H21" s="27"/>
      <c r="I21" s="33"/>
      <c r="J21" s="322"/>
      <c r="K21" s="5"/>
      <c r="L21" s="5"/>
      <c r="M21" s="5"/>
    </row>
    <row r="22" spans="1:13" x14ac:dyDescent="0.25">
      <c r="A22" s="29"/>
      <c r="B22" s="74"/>
      <c r="C22" s="75"/>
      <c r="D22" s="29"/>
      <c r="E22" s="29"/>
      <c r="F22" s="29"/>
      <c r="G22" s="29"/>
      <c r="H22" s="27"/>
      <c r="I22" s="33"/>
      <c r="J22" s="322"/>
      <c r="K22" s="5"/>
      <c r="L22" s="5"/>
      <c r="M22" s="5"/>
    </row>
    <row r="23" spans="1:13" x14ac:dyDescent="0.25">
      <c r="A23" s="29"/>
      <c r="B23" s="74"/>
      <c r="C23" s="75"/>
      <c r="D23" s="29"/>
      <c r="E23" s="29"/>
      <c r="F23" s="29"/>
      <c r="G23" s="29"/>
      <c r="H23" s="27"/>
      <c r="I23" s="33"/>
      <c r="J23" s="322"/>
      <c r="K23" s="5"/>
      <c r="L23" s="5"/>
      <c r="M23" s="5"/>
    </row>
    <row r="24" spans="1:13" x14ac:dyDescent="0.25">
      <c r="A24" s="50"/>
      <c r="B24" s="76"/>
      <c r="C24" s="77"/>
      <c r="D24" s="50"/>
      <c r="E24" s="50"/>
      <c r="F24" s="50"/>
      <c r="G24" s="50"/>
      <c r="H24" s="48"/>
      <c r="I24" s="52"/>
      <c r="J24" s="353"/>
      <c r="K24" s="483"/>
      <c r="L24" s="483"/>
      <c r="M24" s="483"/>
    </row>
    <row r="25" spans="1:13" x14ac:dyDescent="0.25">
      <c r="A25" s="50"/>
      <c r="B25" s="76"/>
      <c r="C25" s="77"/>
      <c r="D25" s="50"/>
      <c r="E25" s="50"/>
      <c r="F25" s="50"/>
      <c r="G25" s="50"/>
      <c r="H25" s="48"/>
      <c r="I25" s="52"/>
      <c r="J25" s="353"/>
      <c r="K25" s="483"/>
      <c r="L25" s="483"/>
      <c r="M25" s="483"/>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P15" sqref="P15"/>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5">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15" si="0">4.74+0.108*E12-0.1*(D12-25)-(1.68+0.028*E12)</f>
        <v>5.1519999999999992</v>
      </c>
      <c r="M12" s="420"/>
      <c r="N12" s="31">
        <f t="shared" ref="N12:N15" si="1">IF(H12&gt;0,1/(1+EXP(-(16.626+0.7536*H12-2.2569*IF(M12="",L12,M12)-34.106*$E$4/100))),0)</f>
        <v>0</v>
      </c>
      <c r="O12" s="31">
        <f t="shared" ref="O12:O15" si="2">1/(1+EXP(-(14.626+0.2066*G12-1.8719*IF(M12="",L12,M12)-30.442*$E$4/100)))</f>
        <v>0.82911544612884558</v>
      </c>
      <c r="P12" s="31">
        <f t="shared" ref="P12:P15" si="3">1/(1+EXP(-(-11.138+1.4054*G12-3.4217*IF(M12="",L12,M12))))</f>
        <v>2.7635039718638892E-5</v>
      </c>
      <c r="Q12" s="399">
        <f t="shared" ref="Q12:Q15" si="4">IF(H12&gt;0,(4.0276+H12*EXP(-0.1246*IF(M12="",L12,M12)))*60,0)</f>
        <v>0</v>
      </c>
      <c r="R12" s="399">
        <f t="shared" ref="R12:R15" si="5">O12*(3.337*G12*EXP(-0.1284*IF(M12="",L12,M12))*$E$5^-0.7073)*60</f>
        <v>512.04114013590367</v>
      </c>
      <c r="S12" s="322">
        <f t="shared" ref="S12:S15" si="6">(9.5751*G12*EXP(-0.1795*IF(M12="",L12,M12))*($E$4/100)^0.3589)*60</f>
        <v>1662.4515542213583</v>
      </c>
      <c r="T12" s="322">
        <f t="shared" ref="T12:T15" si="7">(S12*P12)+(MAX(Q12,R12)*(1-P12))</f>
        <v>512.07293177338966</v>
      </c>
      <c r="U12" s="402">
        <f t="shared" ref="U12:U15" si="8">18600*$E$6/10*T12/3600</f>
        <v>2116.5681179966773</v>
      </c>
      <c r="V12" s="403">
        <f t="shared" ref="V12:V15" si="9">0.01589*U12^0.633</f>
        <v>2.0241799161106675</v>
      </c>
      <c r="W12" s="406"/>
    </row>
    <row r="13" spans="1:24" x14ac:dyDescent="0.25">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5">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5">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5">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5">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5">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5">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5">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5">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5">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5">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5">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5">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5">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5">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0</v>
      </c>
      <c r="I13" s="3">
        <f>Weather_Site!J12</f>
        <v>0</v>
      </c>
      <c r="J13" s="32">
        <f>((1/273.16-0.000184*LN(((0.611*EXP((17.2694*((D13+273.16)-273.16))/((D13+273.16)-35.86)))*(E13/100))/0.611))^-1)-273.16</f>
        <v>2.2332938621797211</v>
      </c>
      <c r="K13" s="32">
        <f>EXP(1.66+0.0214*E13-0.0292*J13)+(67.128*(1-EXP(-3.132*H13))*EXP(-0.0858*(I13*24)))</f>
        <v>8.2702754798490972</v>
      </c>
      <c r="L13" s="27">
        <f>IF(Weather_Site!M12&lt;180,Weather_Site!M12+180,Weather_Site!M12-180)</f>
        <v>216</v>
      </c>
      <c r="M13" s="33">
        <f>(0.678*IF((G13*0.66)&lt;0.5,0.5,(G13*0.66))^1.313*EXP(-0.0243*K13)*(1-EXP(-0.116*IF($C$4=0,20,$C$4)))*EXP(0.0693*$C$8))*60</f>
        <v>734.10828438769443</v>
      </c>
      <c r="N13" s="32">
        <f>0.148*(((18637-(24*K13))*M13/60*$C$7)/600)^0.403</f>
        <v>4.3519594372372028</v>
      </c>
      <c r="O13" s="33">
        <f>M13*0.4</f>
        <v>293.64331375507777</v>
      </c>
      <c r="P13" s="32">
        <f>N13*0.6</f>
        <v>2.6111756623423217</v>
      </c>
      <c r="Q13" s="33">
        <f>0.1*M13</f>
        <v>73.410828438769443</v>
      </c>
      <c r="R13" s="33">
        <f>0.5*N13</f>
        <v>2.1759797186186014</v>
      </c>
      <c r="S13" s="33">
        <f>0.65*(M13/60)^1.02</f>
        <v>8.3613116060907515</v>
      </c>
      <c r="T13" s="31">
        <f>IF(I5=1,(1/(1+EXP(-(-1+0.68*(G13*0.66)-0.07*K13-0.0037*(G13*0.66)*K13+2.1*1)))),(1/(1+EXP(-(-1+0.68*(G13*0.66)-0.07*K13-0.0037*(G13*0.66)*K13+2.1*2)))))</f>
        <v>0.99992354597435973</v>
      </c>
      <c r="U13">
        <f>0</f>
        <v>0</v>
      </c>
    </row>
    <row r="14" spans="1:21" x14ac:dyDescent="0.25">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0</v>
      </c>
      <c r="I14" s="3">
        <f>Weather_Site!J13</f>
        <v>0</v>
      </c>
      <c r="J14" s="32">
        <f t="shared" ref="J14:J17" si="0">((1/273.16-0.000184*LN(((0.611*EXP((17.2694*((D14+273.16)-273.16))/((D14+273.16)-35.86)))*(E14/100))/0.611))^-1)-273.16</f>
        <v>2.0964647435835673</v>
      </c>
      <c r="K14" s="32">
        <f t="shared" ref="K14:K17" si="1">EXP(1.66+0.0214*E14-0.0292*J14)+(67.128*(1-EXP(-3.132*H14))*EXP(-0.0858*(I14*24)))</f>
        <v>8.3389993694257836</v>
      </c>
      <c r="L14" s="27">
        <f>IF(Weather_Site!M13&lt;180,Weather_Site!M13+180,Weather_Site!M13-180)</f>
        <v>132</v>
      </c>
      <c r="M14" s="33">
        <f t="shared" ref="M14:M17" si="2">(0.678*IF((G14*0.66)&lt;0.5,0.5,(G14*0.66))^1.313*EXP(-0.0243*K14)*(1-EXP(-0.116*IF($C$4=0,20,$C$4)))*EXP(0.0693*$C$8))*60</f>
        <v>557.99838475720321</v>
      </c>
      <c r="N14" s="32">
        <f t="shared" ref="N14:N17" si="3">0.148*(((18637-(24*K14))*M14/60*$C$7)/600)^0.403</f>
        <v>3.8963766063629155</v>
      </c>
      <c r="O14" s="33">
        <f t="shared" ref="O14:O17" si="4">M14*0.4</f>
        <v>223.19935390288128</v>
      </c>
      <c r="P14" s="32">
        <f t="shared" ref="P14:P17" si="5">N14*0.6</f>
        <v>2.3378259638177492</v>
      </c>
      <c r="Q14" s="33">
        <f t="shared" ref="Q14:Q17" si="6">0.1*M14</f>
        <v>55.799838475720321</v>
      </c>
      <c r="R14" s="33">
        <f t="shared" ref="R14:R17" si="7">0.5*N14</f>
        <v>1.9481883031814577</v>
      </c>
      <c r="S14" s="33">
        <f t="shared" ref="S14:S17" si="8">0.65*(M14/60)^1.02</f>
        <v>6.3206927814629106</v>
      </c>
      <c r="T14" s="31">
        <f t="shared" ref="T14:T17" si="9">IF(I6=1,(1/(1+EXP(-(-1+0.68*(G14*0.66)-0.07*K14-0.0037*(G14*0.66)*K14+2.1*1)))),(1/(1+EXP(-(-1+0.68*(G14*0.66)-0.07*K14-0.0037*(G14*0.66)*K14+2.1*2)))))</f>
        <v>0.999721535137577</v>
      </c>
      <c r="U14">
        <f>0</f>
        <v>0</v>
      </c>
    </row>
    <row r="15" spans="1:21" x14ac:dyDescent="0.25">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0</v>
      </c>
      <c r="I15" s="3">
        <f>Weather_Site!J14</f>
        <v>0</v>
      </c>
      <c r="J15" s="32">
        <f t="shared" si="0"/>
        <v>2.9064726001817576</v>
      </c>
      <c r="K15" s="32">
        <f t="shared" si="1"/>
        <v>8.6655119165212966</v>
      </c>
      <c r="L15" s="27">
        <f>IF(Weather_Site!M14&lt;180,Weather_Site!M14+180,Weather_Site!M14-180)</f>
        <v>156</v>
      </c>
      <c r="M15" s="33">
        <f t="shared" si="2"/>
        <v>727.09147776913699</v>
      </c>
      <c r="N15" s="32">
        <f t="shared" si="3"/>
        <v>4.334248773192769</v>
      </c>
      <c r="O15" s="33">
        <f t="shared" si="4"/>
        <v>290.83659110765478</v>
      </c>
      <c r="P15" s="32">
        <f t="shared" si="5"/>
        <v>2.6005492639156613</v>
      </c>
      <c r="Q15" s="33">
        <f t="shared" si="6"/>
        <v>72.709147776913696</v>
      </c>
      <c r="R15" s="33">
        <f t="shared" si="7"/>
        <v>2.1671243865963845</v>
      </c>
      <c r="S15" s="33">
        <f t="shared" si="8"/>
        <v>8.2798013383125326</v>
      </c>
      <c r="T15" s="31">
        <f t="shared" si="9"/>
        <v>0.99992017829588764</v>
      </c>
      <c r="U15">
        <f>0</f>
        <v>0</v>
      </c>
    </row>
    <row r="16" spans="1:21" x14ac:dyDescent="0.25">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0</v>
      </c>
      <c r="I16" s="3">
        <f>Weather_Site!J15</f>
        <v>0</v>
      </c>
      <c r="J16" s="32">
        <f t="shared" si="0"/>
        <v>3.6178835409108956</v>
      </c>
      <c r="K16" s="32">
        <f t="shared" si="1"/>
        <v>8.6524091845118338</v>
      </c>
      <c r="L16" s="27">
        <f>IF(Weather_Site!M15&lt;180,Weather_Site!M15+180,Weather_Site!M15-180)</f>
        <v>182</v>
      </c>
      <c r="M16" s="33">
        <f t="shared" si="2"/>
        <v>1306.8117366171873</v>
      </c>
      <c r="N16" s="32">
        <f t="shared" si="3"/>
        <v>5.4894683073198678</v>
      </c>
      <c r="O16" s="33">
        <f t="shared" si="4"/>
        <v>522.72469464687492</v>
      </c>
      <c r="P16" s="32">
        <f t="shared" si="5"/>
        <v>3.2936809843919206</v>
      </c>
      <c r="Q16" s="33">
        <f t="shared" si="6"/>
        <v>130.68117366171873</v>
      </c>
      <c r="R16" s="33">
        <f t="shared" si="7"/>
        <v>2.7447341536599339</v>
      </c>
      <c r="S16" s="33">
        <f t="shared" si="8"/>
        <v>15.056927804759964</v>
      </c>
      <c r="T16" s="31">
        <f t="shared" si="9"/>
        <v>0.99999830207471752</v>
      </c>
      <c r="U16">
        <f>0</f>
        <v>0</v>
      </c>
    </row>
    <row r="17" spans="1:21" x14ac:dyDescent="0.25">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0</v>
      </c>
      <c r="I17" s="3">
        <f>Weather_Site!J16</f>
        <v>0</v>
      </c>
      <c r="J17" s="32">
        <f t="shared" si="0"/>
        <v>4.4189158446973806</v>
      </c>
      <c r="K17" s="32">
        <f t="shared" si="1"/>
        <v>8.0636608837216119</v>
      </c>
      <c r="L17" s="27">
        <f>IF(Weather_Site!M16&lt;180,Weather_Site!M16+180,Weather_Site!M16-180)</f>
        <v>180</v>
      </c>
      <c r="M17" s="33">
        <f t="shared" si="2"/>
        <v>1833.1288260597948</v>
      </c>
      <c r="N17" s="32">
        <f t="shared" si="3"/>
        <v>6.2935740265518083</v>
      </c>
      <c r="O17" s="33">
        <f t="shared" si="4"/>
        <v>733.25153042391798</v>
      </c>
      <c r="P17" s="32">
        <f t="shared" si="5"/>
        <v>3.7761444159310846</v>
      </c>
      <c r="Q17" s="33">
        <f t="shared" si="6"/>
        <v>183.3128826059795</v>
      </c>
      <c r="R17" s="33">
        <f t="shared" si="7"/>
        <v>3.1467870132759042</v>
      </c>
      <c r="S17" s="33">
        <f t="shared" si="8"/>
        <v>21.264536835949244</v>
      </c>
      <c r="T17" s="31">
        <f t="shared" si="9"/>
        <v>0.99999992203587873</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22.391293731961561</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5">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22.161217696354331</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5">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21.108537026670813</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5">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21.168458963832116</v>
      </c>
      <c r="U17" s="250"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5">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13.849884251909952</v>
      </c>
      <c r="I5" s="33">
        <f>Grass!I9</f>
        <v>4.769183619837289</v>
      </c>
      <c r="J5" s="349">
        <f>'Forest(McArthur)'!O9</f>
        <v>398.87666645500661</v>
      </c>
      <c r="K5" s="349" t="e">
        <f>'Forest(McArthur)'!AB9</f>
        <v>#NUM!</v>
      </c>
      <c r="L5" s="349">
        <f>'Forest(VESTA)'!P14</f>
        <v>463.1295601681332</v>
      </c>
      <c r="M5" s="349">
        <f>'DryForest(VESTA)'!P14</f>
        <v>717.4158158944482</v>
      </c>
      <c r="N5" s="349">
        <f>'VESTA Mk2 Dry'!Y14</f>
        <v>646.1302218769938</v>
      </c>
      <c r="O5" s="349">
        <f>'VESTA Mk2 Wet'!Z14</f>
        <v>62.406198338638454</v>
      </c>
      <c r="P5" s="349" t="e">
        <f>RedBook!AA14</f>
        <v>#DIV/0!</v>
      </c>
      <c r="Q5" s="350">
        <f>Grass!W9</f>
        <v>2861.0576319010665</v>
      </c>
      <c r="R5" s="350">
        <f>Grass!AB9</f>
        <v>2406.1876465394516</v>
      </c>
      <c r="S5" s="350">
        <f>Grass!AG9</f>
        <v>1201.6954690395235</v>
      </c>
      <c r="T5" s="350">
        <f>Heath!L9</f>
        <v>1558.6317492970104</v>
      </c>
      <c r="U5" s="351">
        <f>Buttongrass!M13</f>
        <v>734.10828438769443</v>
      </c>
      <c r="V5" s="352">
        <f>'WA Mallee'!J9</f>
        <v>1490.9765711465732</v>
      </c>
      <c r="W5" s="344">
        <f>'Forest(McArthur)'!S9</f>
        <v>3899.0113610878529</v>
      </c>
      <c r="X5" s="344" t="e">
        <f>'Forest(McArthur)'!AF9</f>
        <v>#NUM!</v>
      </c>
      <c r="Y5" s="344">
        <f>'Forest(VESTA)'!T14</f>
        <v>5503.5229399979826</v>
      </c>
      <c r="Z5" s="344">
        <f>'DryForest(VESTA)'!T14</f>
        <v>8525.2912788790254</v>
      </c>
      <c r="AA5" s="344">
        <f>'VESTA Mk2 Dry'!AB14</f>
        <v>7678.1808033049429</v>
      </c>
      <c r="AB5" s="344">
        <f>'VESTA Mk2 Wet'!AC14</f>
        <v>1031.7824791988223</v>
      </c>
      <c r="AC5" s="345">
        <f>Grass!Z9</f>
        <v>8869.8508704196865</v>
      </c>
      <c r="AD5" s="345">
        <f>Grass!AE9</f>
        <v>4973.1086278677385</v>
      </c>
      <c r="AE5" s="345">
        <f>Grass!AJ9</f>
        <v>931.37407327908272</v>
      </c>
      <c r="AF5" s="346">
        <f>'Forest(McArthur)'!Q9</f>
        <v>8.9453966639150853</v>
      </c>
      <c r="AG5" s="346" t="e">
        <f>'Forest(McArthur)'!AD9</f>
        <v>#NUM!</v>
      </c>
      <c r="AH5" s="346">
        <f>'Forest(VESTA)'!R14</f>
        <v>2.7240745726522704</v>
      </c>
      <c r="AI5" s="346">
        <f>'DryForest(VESTA)'!R14</f>
        <v>3.7379929525249893</v>
      </c>
      <c r="AJ5" s="346">
        <f>'VESTA Mk2 Dry'!Z14</f>
        <v>3.4655924080258016</v>
      </c>
      <c r="AK5" s="346">
        <f>'VESTA Mk2 Wet'!AA14</f>
        <v>1.3784908650771286</v>
      </c>
      <c r="AL5" s="346">
        <f>Grass!Y9</f>
        <v>2.4672513724423046</v>
      </c>
      <c r="AM5" s="346">
        <f>Grass!AD9</f>
        <v>1.0260268418921605</v>
      </c>
      <c r="AN5" s="346">
        <f>Grass!AI9</f>
        <v>0.29706655240431923</v>
      </c>
      <c r="AO5" s="347">
        <f>'Forest(McArthur)'!R9</f>
        <v>987.40537928501249</v>
      </c>
      <c r="AP5" s="348">
        <f>'Forest(VESTA)'!S14</f>
        <v>496.96902884209157</v>
      </c>
      <c r="AQ5" s="348">
        <f>'DryForest(VESTA)'!S14</f>
        <v>1248.3335095753946</v>
      </c>
    </row>
    <row r="6" spans="1:43" x14ac:dyDescent="0.25">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12.692825027306988</v>
      </c>
      <c r="I6" s="33">
        <f>Grass!I10</f>
        <v>3.6549925669318051</v>
      </c>
      <c r="J6" s="349">
        <f>'Forest(McArthur)'!O10</f>
        <v>365.55336078644126</v>
      </c>
      <c r="K6" s="349" t="e">
        <f>'Forest(McArthur)'!AB10</f>
        <v>#NUM!</v>
      </c>
      <c r="L6" s="349">
        <f>'Forest(VESTA)'!P15</f>
        <v>351.13094012633343</v>
      </c>
      <c r="M6" s="349">
        <f>'DryForest(VESTA)'!P15</f>
        <v>546.92721532221162</v>
      </c>
      <c r="N6" s="349">
        <f>'VESTA Mk2 Dry'!Y15</f>
        <v>540.64796784978012</v>
      </c>
      <c r="O6" s="349">
        <f>'VESTA Mk2 Wet'!Z15</f>
        <v>47.694127625686107</v>
      </c>
      <c r="P6" s="349" t="e">
        <f>RedBook!AA15</f>
        <v>#DIV/0!</v>
      </c>
      <c r="Q6" s="350">
        <f>Grass!W10</f>
        <v>2287.354348939044</v>
      </c>
      <c r="R6" s="350">
        <f>Grass!AB10</f>
        <v>1917.0143136408449</v>
      </c>
      <c r="S6" s="350">
        <f>Grass!AG10</f>
        <v>957.44825369375405</v>
      </c>
      <c r="T6" s="350">
        <f>Heath!L10</f>
        <v>1284.1914912893872</v>
      </c>
      <c r="U6" s="351">
        <f>Buttongrass!M14</f>
        <v>557.99838475720321</v>
      </c>
      <c r="V6" s="352">
        <f>'WA Mallee'!J10</f>
        <v>1198.9066172194846</v>
      </c>
      <c r="W6" s="344">
        <f>'Forest(McArthur)'!S10</f>
        <v>3573.2767209910362</v>
      </c>
      <c r="X6" s="344" t="e">
        <f>'Forest(McArthur)'!AF10</f>
        <v>#NUM!</v>
      </c>
      <c r="Y6" s="344">
        <f>'Forest(VESTA)'!T15</f>
        <v>4172.6060051679287</v>
      </c>
      <c r="Z6" s="344">
        <f>'DryForest(VESTA)'!T15</f>
        <v>6499.3184087456148</v>
      </c>
      <c r="AA6" s="344">
        <f>'VESTA Mk2 Dry'!AB15</f>
        <v>6424.7000179482202</v>
      </c>
      <c r="AB6" s="344">
        <f>'VESTA Mk2 Wet'!AC15</f>
        <v>788.54291007801032</v>
      </c>
      <c r="AC6" s="345">
        <f>Grass!Z10</f>
        <v>7091.2559525808247</v>
      </c>
      <c r="AD6" s="345">
        <f>Grass!AE10</f>
        <v>3962.0851834328987</v>
      </c>
      <c r="AE6" s="345">
        <f>Grass!AJ10</f>
        <v>742.07026902534415</v>
      </c>
      <c r="AF6" s="346">
        <f>'Forest(McArthur)'!Q10</f>
        <v>8.5121936902237358</v>
      </c>
      <c r="AG6" s="346" t="e">
        <f>'Forest(McArthur)'!AD10</f>
        <v>#NUM!</v>
      </c>
      <c r="AH6" s="346">
        <f>'Forest(VESTA)'!R15</f>
        <v>2.2299249283226392</v>
      </c>
      <c r="AI6" s="346">
        <f>'DryForest(VESTA)'!R15</f>
        <v>3.0721268021188042</v>
      </c>
      <c r="AJ6" s="346">
        <f>'VESTA Mk2 Dry'!Z15</f>
        <v>3.0465851538660154</v>
      </c>
      <c r="AK6" s="346">
        <f>'VESTA Mk2 Wet'!AA15</f>
        <v>1.1349699822001236</v>
      </c>
      <c r="AL6" s="346">
        <f>Grass!Y10</f>
        <v>2.3025170469990059</v>
      </c>
      <c r="AM6" s="346">
        <f>Grass!AD10</f>
        <v>0.95600081965800343</v>
      </c>
      <c r="AN6" s="346">
        <f>Grass!AI10</f>
        <v>0.28051149831498062</v>
      </c>
      <c r="AO6" s="347">
        <f>'Forest(McArthur)'!R10</f>
        <v>874.83925273659861</v>
      </c>
      <c r="AP6" s="348">
        <f>'Forest(VESTA)'!S15</f>
        <v>198.71513771077116</v>
      </c>
      <c r="AQ6" s="348">
        <f>'DryForest(VESTA)'!S15</f>
        <v>843.31939293284358</v>
      </c>
    </row>
    <row r="7" spans="1:43" x14ac:dyDescent="0.25">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11.950425391220405</v>
      </c>
      <c r="I7" s="33">
        <f>Grass!I11</f>
        <v>4.312862654511739</v>
      </c>
      <c r="J7" s="349">
        <f>'Forest(McArthur)'!O11</f>
        <v>344.1722512671476</v>
      </c>
      <c r="K7" s="349" t="e">
        <f>'Forest(McArthur)'!AB11</f>
        <v>#NUM!</v>
      </c>
      <c r="L7" s="349">
        <f>'Forest(VESTA)'!P16</f>
        <v>420.38129080436005</v>
      </c>
      <c r="M7" s="349">
        <f>'DryForest(VESTA)'!P16</f>
        <v>647.7568275218058</v>
      </c>
      <c r="N7" s="349">
        <f>'VESTA Mk2 Dry'!Y16</f>
        <v>611.75048656883314</v>
      </c>
      <c r="O7" s="349">
        <f>'VESTA Mk2 Wet'!Z16</f>
        <v>57.758840114032495</v>
      </c>
      <c r="P7" s="349" t="e">
        <f>RedBook!AA16</f>
        <v>#DIV/0!</v>
      </c>
      <c r="Q7" s="350">
        <f>Grass!W11</f>
        <v>2665.4115616576478</v>
      </c>
      <c r="R7" s="350">
        <f>Grass!AB11</f>
        <v>2241.646690752797</v>
      </c>
      <c r="S7" s="350">
        <f>Grass!AG11</f>
        <v>1119.5206140049936</v>
      </c>
      <c r="T7" s="350">
        <f>Heath!L11</f>
        <v>1486.9941786092566</v>
      </c>
      <c r="U7" s="351">
        <f>Buttongrass!M15</f>
        <v>727.09147776913699</v>
      </c>
      <c r="V7" s="352">
        <f>'WA Mallee'!J11</f>
        <v>1490.9765711465732</v>
      </c>
      <c r="W7" s="344">
        <f>'Forest(McArthur)'!S11</f>
        <v>3364.2768071347236</v>
      </c>
      <c r="X7" s="344" t="e">
        <f>'Forest(McArthur)'!AF11</f>
        <v>#NUM!</v>
      </c>
      <c r="Y7" s="344">
        <f>'Forest(VESTA)'!T16</f>
        <v>4995.5310057251454</v>
      </c>
      <c r="Z7" s="344">
        <f>'DryForest(VESTA)'!T16</f>
        <v>7697.5103003841268</v>
      </c>
      <c r="AA7" s="344">
        <f>'VESTA Mk2 Dry'!AB16</f>
        <v>7269.6349487262996</v>
      </c>
      <c r="AB7" s="344">
        <f>'VESTA Mk2 Wet'!AC16</f>
        <v>954.94615655200391</v>
      </c>
      <c r="AC7" s="345">
        <f>Grass!Z11</f>
        <v>8263.3089234510408</v>
      </c>
      <c r="AD7" s="345">
        <f>Grass!AE11</f>
        <v>4633.0353804478809</v>
      </c>
      <c r="AE7" s="345">
        <f>Grass!AJ11</f>
        <v>867.68445188457042</v>
      </c>
      <c r="AF7" s="346">
        <f>'Forest(McArthur)'!Q11</f>
        <v>8.2342392664729189</v>
      </c>
      <c r="AG7" s="346" t="e">
        <f>'Forest(McArthur)'!AD11</f>
        <v>#NUM!</v>
      </c>
      <c r="AH7" s="346">
        <f>'Forest(VESTA)'!R16</f>
        <v>2.5398627402827874</v>
      </c>
      <c r="AI7" s="346">
        <f>'DryForest(VESTA)'!R16</f>
        <v>3.4718980123016281</v>
      </c>
      <c r="AJ7" s="346">
        <f>'VESTA Mk2 Dry'!Z16</f>
        <v>3.3312660560967053</v>
      </c>
      <c r="AK7" s="346">
        <f>'VESTA Mk2 Wet'!AA16</f>
        <v>1.3034800687515604</v>
      </c>
      <c r="AL7" s="346">
        <f>Grass!Y11</f>
        <v>2.41390376506686</v>
      </c>
      <c r="AM7" s="346">
        <f>Grass!AD11</f>
        <v>1.0036729984187314</v>
      </c>
      <c r="AN7" s="346">
        <f>Grass!AI11</f>
        <v>0.29168757980767562</v>
      </c>
      <c r="AO7" s="347">
        <f>'Forest(McArthur)'!R11</f>
        <v>802.61386478042471</v>
      </c>
      <c r="AP7" s="348">
        <f>'Forest(VESTA)'!S16</f>
        <v>361.17563019175077</v>
      </c>
      <c r="AQ7" s="348">
        <f>'DryForest(VESTA)'!S16</f>
        <v>1052.6429518657378</v>
      </c>
    </row>
    <row r="8" spans="1:43" x14ac:dyDescent="0.25">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14.446567965867528</v>
      </c>
      <c r="I8" s="33">
        <f>Grass!I12</f>
        <v>8.1112405568192543</v>
      </c>
      <c r="J8" s="349">
        <f>'Forest(McArthur)'!O12</f>
        <v>416.06115741698477</v>
      </c>
      <c r="K8" s="349" t="e">
        <f>'Forest(McArthur)'!AB12</f>
        <v>#NUM!</v>
      </c>
      <c r="L8" s="349">
        <f>'Forest(VESTA)'!P17</f>
        <v>680.59063686396132</v>
      </c>
      <c r="M8" s="349">
        <f>'DryForest(VESTA)'!P17</f>
        <v>1032.675305292518</v>
      </c>
      <c r="N8" s="349">
        <f>'VESTA Mk2 Dry'!Y17</f>
        <v>874.66405936686385</v>
      </c>
      <c r="O8" s="349">
        <f>'VESTA Mk2 Wet'!Z17</f>
        <v>92.73719350997635</v>
      </c>
      <c r="P8" s="349" t="e">
        <f>RedBook!AA17</f>
        <v>#DIV/0!</v>
      </c>
      <c r="Q8" s="350">
        <f>Grass!W12</f>
        <v>4070.4569780538691</v>
      </c>
      <c r="R8" s="350">
        <f>Grass!AB12</f>
        <v>3440.6835238925878</v>
      </c>
      <c r="S8" s="350">
        <f>Grass!AG12</f>
        <v>1718.1987426433243</v>
      </c>
      <c r="T8" s="350">
        <f>Heath!L12</f>
        <v>2212.5498218712564</v>
      </c>
      <c r="U8" s="351">
        <f>Buttongrass!M16</f>
        <v>1306.8117366171873</v>
      </c>
      <c r="V8" s="352">
        <f>'WA Mallee'!J12</f>
        <v>2382.2198901132897</v>
      </c>
      <c r="W8" s="344">
        <f>'Forest(McArthur)'!S12</f>
        <v>4066.9894132781342</v>
      </c>
      <c r="X8" s="344" t="e">
        <f>'Forest(McArthur)'!AF12</f>
        <v>#NUM!</v>
      </c>
      <c r="Y8" s="344">
        <f>'Forest(VESTA)'!T17</f>
        <v>8087.6854014000737</v>
      </c>
      <c r="Z8" s="344">
        <f>'DryForest(VESTA)'!T17</f>
        <v>12271.624877892757</v>
      </c>
      <c r="AA8" s="344">
        <f>'VESTA Mk2 Dry'!AB17</f>
        <v>10393.924572142898</v>
      </c>
      <c r="AB8" s="344">
        <f>'VESTA Mk2 Wet'!AC17</f>
        <v>1533.2549326982758</v>
      </c>
      <c r="AC8" s="345">
        <f>Grass!Z12</f>
        <v>12619.230723362605</v>
      </c>
      <c r="AD8" s="345">
        <f>Grass!AE12</f>
        <v>7111.2047071812012</v>
      </c>
      <c r="AE8" s="345">
        <f>Grass!AJ12</f>
        <v>1331.6899354857085</v>
      </c>
      <c r="AF8" s="346">
        <f>'Forest(McArthur)'!Q12</f>
        <v>9.1687950464208026</v>
      </c>
      <c r="AG8" s="346" t="e">
        <f>'Forest(McArthur)'!AD12</f>
        <v>#NUM!</v>
      </c>
      <c r="AH8" s="346">
        <f>'Forest(VESTA)'!R17</f>
        <v>3.5982608207942595</v>
      </c>
      <c r="AI8" s="346">
        <f>'DryForest(VESTA)'!R17</f>
        <v>4.864205395745727</v>
      </c>
      <c r="AJ8" s="346">
        <f>'VESTA Mk2 Dry'!Z17</f>
        <v>4.3138727498866878</v>
      </c>
      <c r="AK8" s="346">
        <f>'VESTA Mk2 Wet'!AA17</f>
        <v>1.8356033888599901</v>
      </c>
      <c r="AL8" s="346">
        <f>Grass!Y12</f>
        <v>2.7503693593038165</v>
      </c>
      <c r="AM8" s="346">
        <f>Grass!AD12</f>
        <v>1.1466568155726009</v>
      </c>
      <c r="AN8" s="346">
        <f>Grass!AI12</f>
        <v>0.32777160953832835</v>
      </c>
      <c r="AO8" s="347">
        <f>'Forest(McArthur)'!R12</f>
        <v>1045.4545897545747</v>
      </c>
      <c r="AP8" s="348">
        <f>'Forest(VESTA)'!S17</f>
        <v>939.73565231013936</v>
      </c>
      <c r="AQ8" s="348">
        <f>'DryForest(VESTA)'!S17</f>
        <v>1787.8333538704592</v>
      </c>
    </row>
    <row r="9" spans="1:43" x14ac:dyDescent="0.25">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19.8439043699466</v>
      </c>
      <c r="I9" s="33">
        <f>Grass!I13</f>
        <v>13.808538065479651</v>
      </c>
      <c r="J9" s="349">
        <f>'Forest(McArthur)'!O13</f>
        <v>571.50444585446201</v>
      </c>
      <c r="K9" s="349" t="e">
        <f>'Forest(McArthur)'!AB13</f>
        <v>#NUM!</v>
      </c>
      <c r="L9" s="349">
        <f>'Forest(VESTA)'!P18</f>
        <v>974.71340734836269</v>
      </c>
      <c r="M9" s="349">
        <f>'DryForest(VESTA)'!P18</f>
        <v>1467.6770928443459</v>
      </c>
      <c r="N9" s="349">
        <f>'VESTA Mk2 Dry'!Y18</f>
        <v>1296.5387269441289</v>
      </c>
      <c r="O9" s="349">
        <f>'VESTA Mk2 Wet'!Z18</f>
        <v>126.83239272202384</v>
      </c>
      <c r="P9" s="349">
        <f>RedBook!AA18</f>
        <v>0</v>
      </c>
      <c r="Q9" s="350">
        <f>Grass!W13</f>
        <v>5536.3780715882176</v>
      </c>
      <c r="R9" s="350">
        <f>Grass!AB13</f>
        <v>4688.7138967406154</v>
      </c>
      <c r="S9" s="350">
        <f>Grass!AG13</f>
        <v>2341.3633651841342</v>
      </c>
      <c r="T9" s="350">
        <f>Heath!L13</f>
        <v>2895.5859375155169</v>
      </c>
      <c r="U9" s="351">
        <f>Buttongrass!M17</f>
        <v>1833.1288260597948</v>
      </c>
      <c r="V9" s="352">
        <f>'WA Mallee'!J13</f>
        <v>3087.1114927546705</v>
      </c>
      <c r="W9" s="344">
        <f>'Forest(McArthur)'!S13</f>
        <v>5586.4444192804604</v>
      </c>
      <c r="X9" s="344" t="e">
        <f>'Forest(McArthur)'!AF13</f>
        <v>#NUM!</v>
      </c>
      <c r="Y9" s="344">
        <f>'Forest(VESTA)'!T18</f>
        <v>11582.844323989711</v>
      </c>
      <c r="Z9" s="344">
        <f>'DryForest(VESTA)'!T18</f>
        <v>17440.896119966979</v>
      </c>
      <c r="AA9" s="344">
        <f>'VESTA Mk2 Dry'!AB18</f>
        <v>15407.201871852731</v>
      </c>
      <c r="AB9" s="344">
        <f>'VESTA Mk2 Wet'!AC18</f>
        <v>2096.9622263374613</v>
      </c>
      <c r="AC9" s="345">
        <f>Grass!Z13</f>
        <v>17163.879297537791</v>
      </c>
      <c r="AD9" s="345">
        <f>Grass!AE13</f>
        <v>9690.633881783504</v>
      </c>
      <c r="AE9" s="345">
        <f>Grass!AJ13</f>
        <v>1814.6736761859634</v>
      </c>
      <c r="AF9" s="346">
        <f>'Forest(McArthur)'!Q13</f>
        <v>11.189557796108005</v>
      </c>
      <c r="AG9" s="346" t="e">
        <f>'Forest(McArthur)'!AD13</f>
        <v>#NUM!</v>
      </c>
      <c r="AH9" s="346">
        <f>'Forest(VESTA)'!R18</f>
        <v>4.6652412961187704</v>
      </c>
      <c r="AI9" s="346">
        <f>'DryForest(VESTA)'!R18</f>
        <v>6.2717674488781272</v>
      </c>
      <c r="AJ9" s="346">
        <f>'VESTA Mk2 Dry'!Z18</f>
        <v>5.7340304580990074</v>
      </c>
      <c r="AK9" s="346">
        <f>'VESTA Mk2 Wet'!AA18</f>
        <v>2.3019170517696916</v>
      </c>
      <c r="AL9" s="346">
        <f>Grass!Y13</f>
        <v>3.0230061909644168</v>
      </c>
      <c r="AM9" s="346">
        <f>Grass!AD13</f>
        <v>1.2623290948568198</v>
      </c>
      <c r="AN9" s="346">
        <f>Grass!AI13</f>
        <v>0.36032713021757734</v>
      </c>
      <c r="AO9" s="347">
        <f>'Forest(McArthur)'!R13</f>
        <v>1570.5420180963729</v>
      </c>
      <c r="AP9" s="348">
        <f>'Forest(VESTA)'!S18</f>
        <v>1522.7075750573804</v>
      </c>
      <c r="AQ9" s="348">
        <f>'DryForest(VESTA)'!S18</f>
        <v>2509.9685240642984</v>
      </c>
    </row>
    <row r="10" spans="1:43" x14ac:dyDescent="0.25">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17.868097771207069</v>
      </c>
      <c r="I10" s="33">
        <f>Grass!I14</f>
        <v>10.520777953510073</v>
      </c>
      <c r="J10" s="349">
        <f>'Forest(McArthur)'!O14</f>
        <v>514.60121581076362</v>
      </c>
      <c r="K10" s="349" t="e">
        <f>'Forest(McArthur)'!AB14</f>
        <v>#NUM!</v>
      </c>
      <c r="L10" s="349">
        <f>'Forest(VESTA)'!P19</f>
        <v>773.01797396322934</v>
      </c>
      <c r="M10" s="349">
        <f>'DryForest(VESTA)'!P19</f>
        <v>1176.6577084672501</v>
      </c>
      <c r="N10" s="349">
        <f>'VESTA Mk2 Dry'!Y19</f>
        <v>972.90297605179001</v>
      </c>
      <c r="O10" s="349">
        <f>'VESTA Mk2 Wet'!Z19</f>
        <v>103.64852796624062</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5030.2164945066197</v>
      </c>
      <c r="X10" s="344" t="e">
        <f>'Forest(McArthur)'!AF14</f>
        <v>#NUM!</v>
      </c>
      <c r="Y10" s="344">
        <f>'Forest(VESTA)'!T19</f>
        <v>9186.0302572630426</v>
      </c>
      <c r="Z10" s="344">
        <f>'DryForest(VESTA)'!T19</f>
        <v>13982.615768952488</v>
      </c>
      <c r="AA10" s="344">
        <f>'VESTA Mk2 Dry'!AB19</f>
        <v>11561.330365415441</v>
      </c>
      <c r="AB10" s="344">
        <f>'VESTA Mk2 Wet'!AC19</f>
        <v>1713.6556623751781</v>
      </c>
      <c r="AC10" s="345">
        <f>Grass!Z14</f>
        <v>15015.406337194523</v>
      </c>
      <c r="AD10" s="345">
        <f>Grass!AE14</f>
        <v>8466.9710627627646</v>
      </c>
      <c r="AE10" s="345">
        <f>Grass!AJ14</f>
        <v>1585.5626104724254</v>
      </c>
      <c r="AF10" s="346">
        <f>'Forest(McArthur)'!Q14</f>
        <v>10.449815805539927</v>
      </c>
      <c r="AG10" s="346" t="e">
        <f>'Forest(McArthur)'!AD14</f>
        <v>#NUM!</v>
      </c>
      <c r="AH10" s="346">
        <f>'Forest(VESTA)'!R19</f>
        <v>3.9452738947483224</v>
      </c>
      <c r="AI10" s="346">
        <f>'DryForest(VESTA)'!R19</f>
        <v>5.3455960583364801</v>
      </c>
      <c r="AJ10" s="346">
        <f>'VESTA Mk2 Dry'!Z19</f>
        <v>4.6589747345144348</v>
      </c>
      <c r="AK10" s="346">
        <f>'VESTA Mk2 Wet'!AA19</f>
        <v>1.9893279981726248</v>
      </c>
      <c r="AL10" s="346">
        <f>Grass!Y14</f>
        <v>2.9013881088448858</v>
      </c>
      <c r="AM10" s="346">
        <f>Grass!AD14</f>
        <v>1.2105205090095963</v>
      </c>
      <c r="AN10" s="346">
        <f>Grass!AI14</f>
        <v>0.34532905558922061</v>
      </c>
      <c r="AO10" s="347">
        <f>'Forest(McArthur)'!R14</f>
        <v>1378.3229070087596</v>
      </c>
      <c r="AP10" s="348">
        <f>'Forest(VESTA)'!S19</f>
        <v>1139.1679900951203</v>
      </c>
      <c r="AQ10" s="348">
        <f>'DryForest(VESTA)'!S19</f>
        <v>2051.5393149911479</v>
      </c>
    </row>
    <row r="11" spans="1:43" x14ac:dyDescent="0.25">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23.104487791241652</v>
      </c>
      <c r="I11" s="33">
        <f>Grass!I15</f>
        <v>0</v>
      </c>
      <c r="J11" s="349">
        <f>'Forest(McArthur)'!O15</f>
        <v>665.40924838775948</v>
      </c>
      <c r="K11" s="349" t="e">
        <f>'Forest(McArthur)'!AB15</f>
        <v>#NUM!</v>
      </c>
      <c r="L11" s="349">
        <f>'Forest(VESTA)'!P20</f>
        <v>1078.1500078294589</v>
      </c>
      <c r="M11" s="349">
        <f>'DryForest(VESTA)'!P20</f>
        <v>1611.497651670154</v>
      </c>
      <c r="N11" s="349">
        <f>'VESTA Mk2 Dry'!Y20</f>
        <v>1780.4006300405135</v>
      </c>
      <c r="O11" s="349"/>
      <c r="P11" s="349">
        <f>RedBook!AA20</f>
        <v>0</v>
      </c>
      <c r="Q11" s="350">
        <f>Grass!W15</f>
        <v>0</v>
      </c>
      <c r="R11" s="350">
        <f>Grass!AB15</f>
        <v>0</v>
      </c>
      <c r="S11" s="350">
        <f>Grass!AG15</f>
        <v>0</v>
      </c>
      <c r="T11" s="350">
        <f>Heath!L15</f>
        <v>0</v>
      </c>
      <c r="U11" s="351">
        <f>Buttongrass!M19</f>
        <v>0</v>
      </c>
      <c r="V11" s="352">
        <f>'WA Mallee'!J15</f>
        <v>0</v>
      </c>
      <c r="W11" s="344">
        <f>'Forest(McArthur)'!S15</f>
        <v>6504.3619680607635</v>
      </c>
      <c r="X11" s="344" t="e">
        <f>'Forest(McArthur)'!AF15</f>
        <v>#NUM!</v>
      </c>
      <c r="Y11" s="344">
        <f>'Forest(VESTA)'!T20</f>
        <v>12812.015926373404</v>
      </c>
      <c r="Z11" s="344">
        <f>'DryForest(VESTA)'!T20</f>
        <v>19149.96376068033</v>
      </c>
      <c r="AA11" s="344">
        <f>'VESTA Mk2 Dry'!AB20</f>
        <v>21157.094153648104</v>
      </c>
      <c r="AB11" s="344">
        <f>'VESTA Mk2 Wet'!AC20</f>
        <v>0</v>
      </c>
      <c r="AC11" s="345">
        <f>Grass!Z15</f>
        <v>0</v>
      </c>
      <c r="AD11" s="345">
        <f>Grass!AE15</f>
        <v>0</v>
      </c>
      <c r="AE11" s="345">
        <f>Grass!AJ15</f>
        <v>0</v>
      </c>
      <c r="AF11" s="346">
        <f>'Forest(McArthur)'!Q15</f>
        <v>12.410320229040874</v>
      </c>
      <c r="AG11" s="346" t="e">
        <f>'Forest(McArthur)'!AD15</f>
        <v>#NUM!</v>
      </c>
      <c r="AH11" s="346">
        <f>'Forest(VESTA)'!R20</f>
        <v>5.0181442169673023</v>
      </c>
      <c r="AI11" s="346">
        <f>'DryForest(VESTA)'!R20</f>
        <v>6.7103185941568677</v>
      </c>
      <c r="AJ11" s="346">
        <f>'VESTA Mk2 Dry'!Z20</f>
        <v>7.2117457828743321</v>
      </c>
      <c r="AK11" s="346">
        <f>'VESTA Mk2 Wet'!AA20</f>
        <v>2.5422483513383467</v>
      </c>
      <c r="AL11" s="346">
        <f>Grass!Y15</f>
        <v>0</v>
      </c>
      <c r="AM11" s="346">
        <f>Grass!AD15</f>
        <v>0</v>
      </c>
      <c r="AN11" s="346">
        <f>Grass!AI15</f>
        <v>0</v>
      </c>
      <c r="AO11" s="347">
        <f>'Forest(McArthur)'!R15</f>
        <v>1887.752441053852</v>
      </c>
      <c r="AP11" s="348">
        <f>'Forest(VESTA)'!S20</f>
        <v>1593.836456605839</v>
      </c>
      <c r="AQ11" s="348">
        <f>'DryForest(VESTA)'!S20</f>
        <v>2579.1449551337455</v>
      </c>
    </row>
    <row r="12" spans="1:43" x14ac:dyDescent="0.25">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21.323012217901439</v>
      </c>
      <c r="I12" s="33">
        <f>Grass!I16</f>
        <v>0</v>
      </c>
      <c r="J12" s="349">
        <f>'Forest(McArthur)'!O16</f>
        <v>614.10275187556135</v>
      </c>
      <c r="K12" s="349" t="e">
        <f>'Forest(McArthur)'!AB16</f>
        <v>#NUM!</v>
      </c>
      <c r="L12" s="349">
        <f>'Forest(VESTA)'!P21</f>
        <v>999.48803340111181</v>
      </c>
      <c r="M12" s="349">
        <f>'DryForest(VESTA)'!P21</f>
        <v>1491.4048806809806</v>
      </c>
      <c r="N12" s="349">
        <f>'VESTA Mk2 Dry'!Y21</f>
        <v>1431.9288522972779</v>
      </c>
      <c r="O12" s="349"/>
      <c r="P12" s="349">
        <f>RedBook!AA21</f>
        <v>0</v>
      </c>
      <c r="Q12" s="350">
        <f>Grass!W16</f>
        <v>0</v>
      </c>
      <c r="R12" s="350">
        <f>Grass!AB16</f>
        <v>0</v>
      </c>
      <c r="S12" s="350">
        <f>Grass!AG16</f>
        <v>0</v>
      </c>
      <c r="T12" s="350">
        <f>Heath!L16</f>
        <v>0</v>
      </c>
      <c r="U12" s="351">
        <f>Buttongrass!M20</f>
        <v>0</v>
      </c>
      <c r="V12" s="352">
        <f>'WA Mallee'!J16</f>
        <v>0</v>
      </c>
      <c r="W12" s="344">
        <f>'Forest(McArthur)'!S16</f>
        <v>6002.8420005566222</v>
      </c>
      <c r="X12" s="344" t="e">
        <f>'Forest(McArthur)'!AF16</f>
        <v>#NUM!</v>
      </c>
      <c r="Y12" s="344">
        <f>'Forest(VESTA)'!T21</f>
        <v>11877.249463583212</v>
      </c>
      <c r="Z12" s="344">
        <f>'DryForest(VESTA)'!T21</f>
        <v>17722.861332092321</v>
      </c>
      <c r="AA12" s="344">
        <f>'VESTA Mk2 Dry'!AB21</f>
        <v>17016.087861465985</v>
      </c>
      <c r="AB12" s="344">
        <f>'VESTA Mk2 Wet'!AC21</f>
        <v>0</v>
      </c>
      <c r="AC12" s="345">
        <f>Grass!Z16</f>
        <v>0</v>
      </c>
      <c r="AD12" s="345">
        <f>Grass!AE16</f>
        <v>0</v>
      </c>
      <c r="AE12" s="345">
        <f>Grass!AJ16</f>
        <v>0</v>
      </c>
      <c r="AF12" s="346">
        <f>'Forest(McArthur)'!Q16</f>
        <v>11.743335774382299</v>
      </c>
      <c r="AG12" s="346" t="e">
        <f>'Forest(McArthur)'!AD16</f>
        <v>#NUM!</v>
      </c>
      <c r="AH12" s="346">
        <f>'Forest(VESTA)'!R21</f>
        <v>4.7506746379179878</v>
      </c>
      <c r="AI12" s="346">
        <f>'DryForest(VESTA)'!R21</f>
        <v>6.3449130306733759</v>
      </c>
      <c r="AJ12" s="346">
        <f>'VESTA Mk2 Dry'!Z21</f>
        <v>6.1609443332805283</v>
      </c>
      <c r="AK12" s="346">
        <f>'VESTA Mk2 Wet'!AA21</f>
        <v>2.4275537848896489</v>
      </c>
      <c r="AL12" s="346">
        <f>Grass!Y16</f>
        <v>0</v>
      </c>
      <c r="AM12" s="346">
        <f>Grass!AD16</f>
        <v>0</v>
      </c>
      <c r="AN12" s="346">
        <f>Grass!AI16</f>
        <v>0</v>
      </c>
      <c r="AO12" s="347">
        <f>'Forest(McArthur)'!R16</f>
        <v>1714.4390958356466</v>
      </c>
      <c r="AP12" s="348">
        <f>'Forest(VESTA)'!S21</f>
        <v>1419.7016330805827</v>
      </c>
      <c r="AQ12" s="348">
        <f>'DryForest(VESTA)'!S21</f>
        <v>2356.5667344091971</v>
      </c>
    </row>
    <row r="13" spans="1:43" x14ac:dyDescent="0.25">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19.531662668401115</v>
      </c>
      <c r="I13" s="33">
        <f>Grass!I17</f>
        <v>0</v>
      </c>
      <c r="J13" s="349">
        <f>'Forest(McArthur)'!O17</f>
        <v>562.51188484995191</v>
      </c>
      <c r="K13" s="349" t="e">
        <f>'Forest(McArthur)'!AB17</f>
        <v>#NUM!</v>
      </c>
      <c r="L13" s="349">
        <f>'Forest(VESTA)'!P22</f>
        <v>932.78850678541573</v>
      </c>
      <c r="M13" s="349">
        <f>'DryForest(VESTA)'!P22</f>
        <v>1387.8695646466012</v>
      </c>
      <c r="N13" s="349">
        <f>'VESTA Mk2 Dry'!Y22</f>
        <v>1233.8259558284058</v>
      </c>
      <c r="O13" s="349"/>
      <c r="P13" s="349">
        <f>RedBook!AA22</f>
        <v>0</v>
      </c>
      <c r="Q13" s="350">
        <f>Grass!W17</f>
        <v>0</v>
      </c>
      <c r="R13" s="350">
        <f>Grass!AB17</f>
        <v>0</v>
      </c>
      <c r="S13" s="350">
        <f>Grass!AG17</f>
        <v>0</v>
      </c>
      <c r="T13" s="350">
        <f>Heath!L17</f>
        <v>0</v>
      </c>
      <c r="U13" s="351">
        <f>Buttongrass!M21</f>
        <v>0</v>
      </c>
      <c r="V13" s="352">
        <f>'WA Mallee'!J17</f>
        <v>0</v>
      </c>
      <c r="W13" s="344">
        <f>'Forest(McArthur)'!S17</f>
        <v>5498.5423170254635</v>
      </c>
      <c r="X13" s="344" t="e">
        <f>'Forest(McArthur)'!AF17</f>
        <v>#NUM!</v>
      </c>
      <c r="Y13" s="344">
        <f>'Forest(VESTA)'!T22</f>
        <v>11084.636755633357</v>
      </c>
      <c r="Z13" s="344">
        <f>'DryForest(VESTA)'!T22</f>
        <v>16492.516659883775</v>
      </c>
      <c r="AA13" s="344">
        <f>'VESTA Mk2 Dry'!AB22</f>
        <v>14661.965108427557</v>
      </c>
      <c r="AB13" s="344">
        <f>'VESTA Mk2 Wet'!AC22</f>
        <v>0</v>
      </c>
      <c r="AC13" s="345">
        <f>Grass!Z17</f>
        <v>0</v>
      </c>
      <c r="AD13" s="345">
        <f>Grass!AE17</f>
        <v>0</v>
      </c>
      <c r="AE13" s="345">
        <f>Grass!AJ17</f>
        <v>0</v>
      </c>
      <c r="AF13" s="346">
        <f>'Forest(McArthur)'!Q17</f>
        <v>11.072654503049375</v>
      </c>
      <c r="AG13" s="346" t="e">
        <f>'Forest(McArthur)'!AD17</f>
        <v>#NUM!</v>
      </c>
      <c r="AH13" s="346">
        <f>'Forest(VESTA)'!R22</f>
        <v>4.5192808098662489</v>
      </c>
      <c r="AI13" s="346">
        <f>'DryForest(VESTA)'!R22</f>
        <v>6.0232953495920283</v>
      </c>
      <c r="AJ13" s="346">
        <f>'VESTA Mk2 Dry'!Z22</f>
        <v>5.5321335405917544</v>
      </c>
      <c r="AK13" s="346">
        <f>'VESTA Mk2 Wet'!AA22</f>
        <v>2.3036968046162927</v>
      </c>
      <c r="AL13" s="346">
        <f>Grass!Y17</f>
        <v>0</v>
      </c>
      <c r="AM13" s="346">
        <f>Grass!AD17</f>
        <v>0</v>
      </c>
      <c r="AN13" s="346">
        <f>Grass!AI17</f>
        <v>0</v>
      </c>
      <c r="AO13" s="347">
        <f>'Forest(McArthur)'!R17</f>
        <v>1540.1651470231377</v>
      </c>
      <c r="AP13" s="348">
        <f>'Forest(VESTA)'!S22</f>
        <v>1256.2631446499208</v>
      </c>
      <c r="AQ13" s="348">
        <f>'DryForest(VESTA)'!S22</f>
        <v>2143.8662817965887</v>
      </c>
    </row>
    <row r="14" spans="1:43" x14ac:dyDescent="0.25">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17.861309183967268</v>
      </c>
      <c r="I14" s="33">
        <f>Grass!I18</f>
        <v>0</v>
      </c>
      <c r="J14" s="349">
        <f>'Forest(McArthur)'!O18</f>
        <v>514.40570449825725</v>
      </c>
      <c r="K14" s="349" t="e">
        <f>'Forest(McArthur)'!AB18</f>
        <v>#NUM!</v>
      </c>
      <c r="L14" s="349">
        <f>'Forest(VESTA)'!P23</f>
        <v>1212.3986994342588</v>
      </c>
      <c r="M14" s="349">
        <f>'DryForest(VESTA)'!P23</f>
        <v>1787.983891377351</v>
      </c>
      <c r="N14" s="349">
        <f>'VESTA Mk2 Dry'!Y23</f>
        <v>2408.0910358593601</v>
      </c>
      <c r="O14" s="349"/>
      <c r="P14" s="349">
        <f>RedBook!AA23</f>
        <v>0</v>
      </c>
      <c r="Q14" s="350">
        <f>Grass!W18</f>
        <v>0</v>
      </c>
      <c r="R14" s="350">
        <f>Grass!AB18</f>
        <v>0</v>
      </c>
      <c r="S14" s="350">
        <f>Grass!AG18</f>
        <v>0</v>
      </c>
      <c r="T14" s="350">
        <f>Heath!L18</f>
        <v>0</v>
      </c>
      <c r="U14" s="351">
        <f>Buttongrass!M22</f>
        <v>0</v>
      </c>
      <c r="V14" s="352">
        <f>'WA Mallee'!J18</f>
        <v>0</v>
      </c>
      <c r="W14" s="344">
        <f>'Forest(McArthur)'!S18</f>
        <v>5028.305375374337</v>
      </c>
      <c r="X14" s="344" t="e">
        <f>'Forest(McArthur)'!AF18</f>
        <v>#NUM!</v>
      </c>
      <c r="Y14" s="344">
        <f>'Forest(VESTA)'!T23</f>
        <v>14407.337878277109</v>
      </c>
      <c r="Z14" s="344">
        <f>'DryForest(VESTA)'!T23</f>
        <v>21247.20857586752</v>
      </c>
      <c r="AA14" s="344">
        <f>'VESTA Mk2 Dry'!AB23</f>
        <v>28616.148476128728</v>
      </c>
      <c r="AB14" s="344">
        <f>'VESTA Mk2 Wet'!AC23</f>
        <v>0</v>
      </c>
      <c r="AC14" s="345">
        <f>Grass!Z18</f>
        <v>0</v>
      </c>
      <c r="AD14" s="345">
        <f>Grass!AE18</f>
        <v>0</v>
      </c>
      <c r="AE14" s="345">
        <f>Grass!AJ18</f>
        <v>0</v>
      </c>
      <c r="AF14" s="346">
        <f>'Forest(McArthur)'!Q18</f>
        <v>10.447274158477343</v>
      </c>
      <c r="AG14" s="346" t="e">
        <f>'Forest(McArthur)'!AD18</f>
        <v>#NUM!</v>
      </c>
      <c r="AH14" s="346">
        <f>'Forest(VESTA)'!R23</f>
        <v>5.4625038068054943</v>
      </c>
      <c r="AI14" s="346">
        <f>'DryForest(VESTA)'!R23</f>
        <v>7.2339410911965567</v>
      </c>
      <c r="AJ14" s="346">
        <f>'VESTA Mk2 Dry'!Z23</f>
        <v>8.9715109428195063</v>
      </c>
      <c r="AK14" s="346">
        <f>'VESTA Mk2 Wet'!AA23</f>
        <v>2.2043621527058503</v>
      </c>
      <c r="AL14" s="346">
        <f>Grass!Y18</f>
        <v>0</v>
      </c>
      <c r="AM14" s="346">
        <f>Grass!AD18</f>
        <v>0</v>
      </c>
      <c r="AN14" s="346">
        <f>Grass!AI18</f>
        <v>0</v>
      </c>
      <c r="AO14" s="347">
        <f>'Forest(McArthur)'!R18</f>
        <v>1377.6624697951129</v>
      </c>
      <c r="AP14" s="348">
        <f>'Forest(VESTA)'!S23</f>
        <v>1887.6534288214252</v>
      </c>
      <c r="AQ14" s="348">
        <f>'DryForest(VESTA)'!S23</f>
        <v>2906.3555289186479</v>
      </c>
    </row>
    <row r="15" spans="1:43" x14ac:dyDescent="0.25">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21.535373782567806</v>
      </c>
      <c r="I15" s="33">
        <f>Grass!I19</f>
        <v>0</v>
      </c>
      <c r="J15" s="349">
        <f>'Forest(McArthur)'!O19</f>
        <v>620.21876493795264</v>
      </c>
      <c r="K15" s="349" t="e">
        <f>'Forest(McArthur)'!AB19</f>
        <v>#NUM!</v>
      </c>
      <c r="L15" s="349">
        <f>'Forest(VESTA)'!P24</f>
        <v>1377.5996878610422</v>
      </c>
      <c r="M15" s="349">
        <f>'DryForest(VESTA)'!P24</f>
        <v>2014.8365710314999</v>
      </c>
      <c r="N15" s="349">
        <f>'VESTA Mk2 Dry'!Y24</f>
        <v>3223.0452063138523</v>
      </c>
      <c r="O15" s="349"/>
      <c r="P15" s="349">
        <f>RedBook!AA24</f>
        <v>0</v>
      </c>
      <c r="Q15" s="350">
        <f>Grass!W19</f>
        <v>0</v>
      </c>
      <c r="R15" s="350">
        <f>Grass!AB19</f>
        <v>0</v>
      </c>
      <c r="S15" s="350">
        <f>Grass!AG19</f>
        <v>0</v>
      </c>
      <c r="T15" s="350">
        <f>Heath!L19</f>
        <v>0</v>
      </c>
      <c r="U15" s="351">
        <f>Buttongrass!M23</f>
        <v>0</v>
      </c>
      <c r="V15" s="352">
        <f>'WA Mallee'!J19</f>
        <v>0</v>
      </c>
      <c r="W15" s="344">
        <f>'Forest(McArthur)'!S19</f>
        <v>6062.6259047562817</v>
      </c>
      <c r="X15" s="344" t="e">
        <f>'Forest(McArthur)'!AF19</f>
        <v>#NUM!</v>
      </c>
      <c r="Y15" s="344">
        <f>'Forest(VESTA)'!T24</f>
        <v>16370.476290748717</v>
      </c>
      <c r="Z15" s="344">
        <f>'DryForest(VESTA)'!T24</f>
        <v>23942.974585757656</v>
      </c>
      <c r="AA15" s="344">
        <f>'VESTA Mk2 Dry'!AB24</f>
        <v>38300.520535029609</v>
      </c>
      <c r="AB15" s="344">
        <f>'VESTA Mk2 Wet'!AC24</f>
        <v>0</v>
      </c>
      <c r="AC15" s="345">
        <f>Grass!Z19</f>
        <v>0</v>
      </c>
      <c r="AD15" s="345">
        <f>Grass!AE19</f>
        <v>0</v>
      </c>
      <c r="AE15" s="345">
        <f>Grass!AJ19</f>
        <v>0</v>
      </c>
      <c r="AF15" s="346">
        <f>'Forest(McArthur)'!Q19</f>
        <v>11.822843944193384</v>
      </c>
      <c r="AG15" s="346" t="e">
        <f>'Forest(McArthur)'!AD19</f>
        <v>#NUM!</v>
      </c>
      <c r="AH15" s="346">
        <f>'Forest(VESTA)'!R24</f>
        <v>5.9910375076969613</v>
      </c>
      <c r="AI15" s="346">
        <f>'DryForest(VESTA)'!R24</f>
        <v>7.8864486023379436</v>
      </c>
      <c r="AJ15" s="346">
        <f>'VESTA Mk2 Dry'!Z24</f>
        <v>11.07624844871026</v>
      </c>
      <c r="AK15" s="346">
        <f>'VESTA Mk2 Wet'!AA24</f>
        <v>2.4186534694841493</v>
      </c>
      <c r="AL15" s="346">
        <f>Grass!Y19</f>
        <v>0</v>
      </c>
      <c r="AM15" s="346">
        <f>Grass!AD19</f>
        <v>0</v>
      </c>
      <c r="AN15" s="346">
        <f>Grass!AI19</f>
        <v>0</v>
      </c>
      <c r="AO15" s="347">
        <f>'Forest(McArthur)'!R19</f>
        <v>1735.0989879604044</v>
      </c>
      <c r="AP15" s="348">
        <f>'Forest(VESTA)'!S24</f>
        <v>2168.4375212724772</v>
      </c>
      <c r="AQ15" s="348">
        <f>'DryForest(VESTA)'!S24</f>
        <v>3226.9482363906654</v>
      </c>
    </row>
    <row r="16" spans="1:43" x14ac:dyDescent="0.25">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23.721620159937064</v>
      </c>
      <c r="I16" s="33">
        <f>Grass!I20</f>
        <v>0</v>
      </c>
      <c r="J16" s="349">
        <f>'Forest(McArthur)'!O20</f>
        <v>683.18266060618737</v>
      </c>
      <c r="K16" s="349" t="e">
        <f>'Forest(McArthur)'!AB20</f>
        <v>#NUM!</v>
      </c>
      <c r="L16" s="349">
        <f>'Forest(VESTA)'!P25</f>
        <v>1465.5714589928746</v>
      </c>
      <c r="M16" s="349">
        <f>'DryForest(VESTA)'!P25</f>
        <v>2126.612674674373</v>
      </c>
      <c r="N16" s="349">
        <f>'VESTA Mk2 Dry'!Y25</f>
        <v>3034.7337278403393</v>
      </c>
      <c r="O16" s="349"/>
      <c r="P16" s="349">
        <f>RedBook!AA25</f>
        <v>0</v>
      </c>
      <c r="Q16" s="350">
        <f>Grass!W20</f>
        <v>0</v>
      </c>
      <c r="R16" s="350">
        <f>Grass!AB20</f>
        <v>0</v>
      </c>
      <c r="S16" s="350">
        <f>Grass!AG20</f>
        <v>0</v>
      </c>
      <c r="T16" s="350">
        <f>Heath!L20</f>
        <v>0</v>
      </c>
      <c r="U16" s="351">
        <f>Buttongrass!M24</f>
        <v>0</v>
      </c>
      <c r="V16" s="352">
        <f>'WA Mallee'!J20</f>
        <v>0</v>
      </c>
      <c r="W16" s="344">
        <f>'Forest(McArthur)'!S20</f>
        <v>6678.0967136422396</v>
      </c>
      <c r="X16" s="344" t="e">
        <f>'Forest(McArthur)'!AF20</f>
        <v>#NUM!</v>
      </c>
      <c r="Y16" s="344">
        <f>'Forest(VESTA)'!T25</f>
        <v>17415.874171031996</v>
      </c>
      <c r="Z16" s="344">
        <f>'DryForest(VESTA)'!T25</f>
        <v>25271.247284047135</v>
      </c>
      <c r="AA16" s="344">
        <f>'VESTA Mk2 Dry'!AB25</f>
        <v>36062.752465836034</v>
      </c>
      <c r="AB16" s="344">
        <f>'VESTA Mk2 Wet'!AC25</f>
        <v>0</v>
      </c>
      <c r="AC16" s="345">
        <f>Grass!Z20</f>
        <v>0</v>
      </c>
      <c r="AD16" s="345">
        <f>Grass!AE20</f>
        <v>0</v>
      </c>
      <c r="AE16" s="345">
        <f>Grass!AJ20</f>
        <v>0</v>
      </c>
      <c r="AF16" s="346">
        <f>'Forest(McArthur)'!Q20</f>
        <v>12.641374587880437</v>
      </c>
      <c r="AG16" s="346" t="e">
        <f>'Forest(McArthur)'!AD20</f>
        <v>#NUM!</v>
      </c>
      <c r="AH16" s="346">
        <f>'Forest(VESTA)'!R25</f>
        <v>6.2652606569173619</v>
      </c>
      <c r="AI16" s="346">
        <f>'DryForest(VESTA)'!R25</f>
        <v>8.2003954399925636</v>
      </c>
      <c r="AJ16" s="346">
        <f>'VESTA Mk2 Dry'!Z25</f>
        <v>10.60447741119768</v>
      </c>
      <c r="AK16" s="346">
        <f>'VESTA Mk2 Wet'!AA25</f>
        <v>2.4866724260060824</v>
      </c>
      <c r="AL16" s="346">
        <f>Grass!Y20</f>
        <v>0</v>
      </c>
      <c r="AM16" s="346">
        <f>Grass!AD20</f>
        <v>0</v>
      </c>
      <c r="AN16" s="346">
        <f>Grass!AI20</f>
        <v>0</v>
      </c>
      <c r="AO16" s="347">
        <f>'Forest(McArthur)'!R20</f>
        <v>1947.7910275277011</v>
      </c>
      <c r="AP16" s="348">
        <f>'Forest(VESTA)'!S25</f>
        <v>2409.3359994443363</v>
      </c>
      <c r="AQ16" s="348">
        <f>'DryForest(VESTA)'!S25</f>
        <v>3496.3080960821799</v>
      </c>
    </row>
    <row r="17" spans="1:43" x14ac:dyDescent="0.25">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29.251383606212084</v>
      </c>
      <c r="I17" s="33">
        <f>Grass!I21</f>
        <v>0</v>
      </c>
      <c r="J17" s="349">
        <f>'Forest(McArthur)'!O21</f>
        <v>842.43984785890802</v>
      </c>
      <c r="K17" s="349" t="e">
        <f>'Forest(McArthur)'!AB21</f>
        <v>#NUM!</v>
      </c>
      <c r="L17" s="349">
        <f>'Forest(VESTA)'!P26</f>
        <v>1753.9270727136477</v>
      </c>
      <c r="M17" s="349">
        <f>'DryForest(VESTA)'!P26</f>
        <v>2511.2792287596294</v>
      </c>
      <c r="N17" s="349">
        <f>'VESTA Mk2 Dry'!Y26</f>
        <v>3406.843159644714</v>
      </c>
      <c r="O17" s="349"/>
      <c r="P17" s="349">
        <f>RedBook!AA26</f>
        <v>0</v>
      </c>
      <c r="Q17" s="350">
        <f>Grass!W21</f>
        <v>0</v>
      </c>
      <c r="R17" s="350">
        <f>Grass!AB21</f>
        <v>0</v>
      </c>
      <c r="S17" s="350">
        <f>Grass!AG21</f>
        <v>0</v>
      </c>
      <c r="T17" s="350">
        <f>Heath!L21</f>
        <v>0</v>
      </c>
      <c r="U17" s="351">
        <f>Buttongrass!M25</f>
        <v>0</v>
      </c>
      <c r="V17" s="352">
        <f>'WA Mallee'!J21</f>
        <v>0</v>
      </c>
      <c r="W17" s="344">
        <f>'Forest(McArthur)'!S21</f>
        <v>8234.832503559137</v>
      </c>
      <c r="X17" s="344" t="e">
        <f>'Forest(McArthur)'!AF21</f>
        <v>#NUM!</v>
      </c>
      <c r="Y17" s="344">
        <f>'Forest(VESTA)'!T26</f>
        <v>20842.500047413843</v>
      </c>
      <c r="Z17" s="344">
        <f>'DryForest(VESTA)'!T26</f>
        <v>29842.368168426932</v>
      </c>
      <c r="AA17" s="344">
        <f>'VESTA Mk2 Dry'!AB26</f>
        <v>40484.652880444679</v>
      </c>
      <c r="AB17" s="344">
        <f>'VESTA Mk2 Wet'!AC26</f>
        <v>0</v>
      </c>
      <c r="AC17" s="345">
        <f>Grass!Z21</f>
        <v>0</v>
      </c>
      <c r="AD17" s="345">
        <f>Grass!AE21</f>
        <v>0</v>
      </c>
      <c r="AE17" s="345">
        <f>Grass!AJ21</f>
        <v>0</v>
      </c>
      <c r="AF17" s="346">
        <f>'Forest(McArthur)'!Q21</f>
        <v>14.711718022165805</v>
      </c>
      <c r="AG17" s="346" t="e">
        <f>'Forest(McArthur)'!AD21</f>
        <v>#NUM!</v>
      </c>
      <c r="AH17" s="346">
        <f>'Forest(VESTA)'!R26</f>
        <v>7.1340544734320277</v>
      </c>
      <c r="AI17" s="346">
        <f>'DryForest(VESTA)'!R26</f>
        <v>9.2478371201138501</v>
      </c>
      <c r="AJ17" s="346">
        <f>'VESTA Mk2 Dry'!Z26</f>
        <v>11.529399322643824</v>
      </c>
      <c r="AK17" s="346">
        <f>'VESTA Mk2 Wet'!AA26</f>
        <v>2.7032298866939897</v>
      </c>
      <c r="AL17" s="346">
        <f>Grass!Y21</f>
        <v>0</v>
      </c>
      <c r="AM17" s="346">
        <f>Grass!AD21</f>
        <v>0</v>
      </c>
      <c r="AN17" s="346">
        <f>Grass!AI21</f>
        <v>0</v>
      </c>
      <c r="AO17" s="347">
        <f>'Forest(McArthur)'!R21</f>
        <v>2485.7618060673917</v>
      </c>
      <c r="AP17" s="348">
        <f>'Forest(VESTA)'!S26</f>
        <v>2907.108215455617</v>
      </c>
      <c r="AQ17" s="348">
        <f>'DryForest(VESTA)'!S26</f>
        <v>4054.393592231263</v>
      </c>
    </row>
    <row r="18" spans="1:43" x14ac:dyDescent="0.25">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29.72673696450147</v>
      </c>
      <c r="I18" s="33">
        <f>Grass!I22</f>
        <v>0</v>
      </c>
      <c r="J18" s="349">
        <f>'Forest(McArthur)'!O22</f>
        <v>856.13002457764219</v>
      </c>
      <c r="K18" s="349" t="e">
        <f>'Forest(McArthur)'!AB22</f>
        <v>#NUM!</v>
      </c>
      <c r="L18" s="349">
        <f>'Forest(VESTA)'!P27</f>
        <v>1781.6338277088746</v>
      </c>
      <c r="M18" s="349">
        <f>'DryForest(VESTA)'!P27</f>
        <v>2539.116290400556</v>
      </c>
      <c r="N18" s="349">
        <f>'VESTA Mk2 Dry'!Y27</f>
        <v>3128.949260869922</v>
      </c>
      <c r="O18" s="349"/>
      <c r="P18" s="349">
        <f>RedBook!AA27</f>
        <v>0</v>
      </c>
      <c r="Q18" s="350">
        <f>Grass!W22</f>
        <v>0</v>
      </c>
      <c r="R18" s="350">
        <f>Grass!AB22</f>
        <v>0</v>
      </c>
      <c r="S18" s="350">
        <f>Grass!AG22</f>
        <v>0</v>
      </c>
      <c r="T18" s="350">
        <f>Heath!L22</f>
        <v>0</v>
      </c>
      <c r="U18" s="351">
        <f>Buttongrass!M26</f>
        <v>0</v>
      </c>
      <c r="V18" s="352">
        <f>'WA Mallee'!J22</f>
        <v>0</v>
      </c>
      <c r="W18" s="344">
        <f>'Forest(McArthur)'!S22</f>
        <v>8368.6537045735768</v>
      </c>
      <c r="X18" s="344" t="e">
        <f>'Forest(McArthur)'!AF22</f>
        <v>#NUM!</v>
      </c>
      <c r="Y18" s="344">
        <f>'Forest(VESTA)'!T27</f>
        <v>21171.748652607126</v>
      </c>
      <c r="Z18" s="344">
        <f>'DryForest(VESTA)'!T27</f>
        <v>30173.165250926606</v>
      </c>
      <c r="AA18" s="344">
        <f>'VESTA Mk2 Dry'!AB27</f>
        <v>37182.347050004239</v>
      </c>
      <c r="AB18" s="344">
        <f>'VESTA Mk2 Wet'!AC27</f>
        <v>0</v>
      </c>
      <c r="AC18" s="345">
        <f>Grass!Z22</f>
        <v>0</v>
      </c>
      <c r="AD18" s="345">
        <f>Grass!AE22</f>
        <v>0</v>
      </c>
      <c r="AE18" s="345">
        <f>Grass!AJ22</f>
        <v>0</v>
      </c>
      <c r="AF18" s="346">
        <f>'Forest(McArthur)'!Q22</f>
        <v>14.889690319509349</v>
      </c>
      <c r="AG18" s="346" t="e">
        <f>'Forest(McArthur)'!AD22</f>
        <v>#NUM!</v>
      </c>
      <c r="AH18" s="346">
        <f>'Forest(VESTA)'!R27</f>
        <v>7.2153569867646858</v>
      </c>
      <c r="AI18" s="346">
        <f>'DryForest(VESTA)'!R27</f>
        <v>9.3218389954275267</v>
      </c>
      <c r="AJ18" s="346">
        <f>'VESTA Mk2 Dry'!Z27</f>
        <v>10.841496006921197</v>
      </c>
      <c r="AK18" s="346">
        <f>'VESTA Mk2 Wet'!AA27</f>
        <v>2.6437402573213742</v>
      </c>
      <c r="AL18" s="346">
        <f>Grass!Y22</f>
        <v>0</v>
      </c>
      <c r="AM18" s="346">
        <f>Grass!AD22</f>
        <v>0</v>
      </c>
      <c r="AN18" s="346">
        <f>Grass!AI22</f>
        <v>0</v>
      </c>
      <c r="AO18" s="347">
        <f>'Forest(McArthur)'!R22</f>
        <v>2532.0072230232754</v>
      </c>
      <c r="AP18" s="348">
        <f>'Forest(VESTA)'!S27</f>
        <v>3015.1305214114973</v>
      </c>
      <c r="AQ18" s="348">
        <f>'DryForest(VESTA)'!S27</f>
        <v>4167.9822094774117</v>
      </c>
    </row>
    <row r="19" spans="1:43" x14ac:dyDescent="0.25">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31.689229994097666</v>
      </c>
      <c r="I19" s="33">
        <f>Grass!I23</f>
        <v>0</v>
      </c>
      <c r="J19" s="349">
        <f>'Forest(McArthur)'!O23</f>
        <v>912.64982383001268</v>
      </c>
      <c r="K19" s="349" t="e">
        <f>'Forest(McArthur)'!AB23</f>
        <v>#NUM!</v>
      </c>
      <c r="L19" s="349">
        <f>'Forest(VESTA)'!P28</f>
        <v>1405.5824091035629</v>
      </c>
      <c r="M19" s="349">
        <f>'DryForest(VESTA)'!P28</f>
        <v>2134.6482165622951</v>
      </c>
      <c r="N19" s="349">
        <f>'VESTA Mk2 Dry'!Y28</f>
        <v>3046.5291294858175</v>
      </c>
      <c r="O19" s="349"/>
      <c r="P19" s="349">
        <f>RedBook!AA28</f>
        <v>0</v>
      </c>
      <c r="Q19" s="350">
        <f>Grass!W23</f>
        <v>0</v>
      </c>
      <c r="R19" s="350">
        <f>Grass!AB23</f>
        <v>0</v>
      </c>
      <c r="S19" s="350">
        <f>Grass!AG23</f>
        <v>0</v>
      </c>
      <c r="T19" s="350">
        <f>Heath!L23</f>
        <v>0</v>
      </c>
      <c r="U19" s="351">
        <f>Buttongrass!M27</f>
        <v>0</v>
      </c>
      <c r="V19" s="352">
        <f>'WA Mallee'!J23</f>
        <v>0</v>
      </c>
      <c r="W19" s="344">
        <f>'Forest(McArthur)'!S23</f>
        <v>8921.1336011038366</v>
      </c>
      <c r="X19" s="344" t="e">
        <f>'Forest(McArthur)'!AF23</f>
        <v>#NUM!</v>
      </c>
      <c r="Y19" s="344">
        <f>'Forest(VESTA)'!T28</f>
        <v>16703.004294847338</v>
      </c>
      <c r="Z19" s="344">
        <f>'DryForest(VESTA)'!T28</f>
        <v>25366.736306815274</v>
      </c>
      <c r="AA19" s="344">
        <f>'VESTA Mk2 Dry'!AB28</f>
        <v>36202.921155389799</v>
      </c>
      <c r="AB19" s="344">
        <f>'VESTA Mk2 Wet'!AC28</f>
        <v>0</v>
      </c>
      <c r="AC19" s="345">
        <f>Grass!Z23</f>
        <v>0</v>
      </c>
      <c r="AD19" s="345">
        <f>Grass!AE23</f>
        <v>0</v>
      </c>
      <c r="AE19" s="345">
        <f>Grass!AJ23</f>
        <v>0</v>
      </c>
      <c r="AF19" s="346">
        <f>'Forest(McArthur)'!Q23</f>
        <v>15.624447709790164</v>
      </c>
      <c r="AG19" s="346" t="e">
        <f>'Forest(McArthur)'!AD23</f>
        <v>#NUM!</v>
      </c>
      <c r="AH19" s="346">
        <f>'Forest(VESTA)'!R28</f>
        <v>6.0787768137098732</v>
      </c>
      <c r="AI19" s="346">
        <f>'DryForest(VESTA)'!R28</f>
        <v>8.2227864090507179</v>
      </c>
      <c r="AJ19" s="346">
        <f>'VESTA Mk2 Dry'!Z28</f>
        <v>10.634261632074232</v>
      </c>
      <c r="AK19" s="346">
        <f>'VESTA Mk2 Wet'!AA28</f>
        <v>2.8217090332739967</v>
      </c>
      <c r="AL19" s="346">
        <f>Grass!Y23</f>
        <v>0</v>
      </c>
      <c r="AM19" s="346">
        <f>Grass!AD23</f>
        <v>0</v>
      </c>
      <c r="AN19" s="346">
        <f>Grass!AI23</f>
        <v>0</v>
      </c>
      <c r="AO19" s="347">
        <f>'Forest(McArthur)'!R23</f>
        <v>2722.9311048977829</v>
      </c>
      <c r="AP19" s="348">
        <f>'Forest(VESTA)'!S28</f>
        <v>2300.2414147807585</v>
      </c>
      <c r="AQ19" s="348">
        <f>'DryForest(VESTA)'!S28</f>
        <v>3508.442871700051</v>
      </c>
    </row>
    <row r="20" spans="1:43" x14ac:dyDescent="0.25">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30.326953614754807</v>
      </c>
      <c r="I20" s="33">
        <f>Grass!I24</f>
        <v>0</v>
      </c>
      <c r="J20" s="349">
        <f>'Forest(McArthur)'!O24</f>
        <v>873.41626410493836</v>
      </c>
      <c r="K20" s="349" t="e">
        <f>'Forest(McArthur)'!AB24</f>
        <v>#NUM!</v>
      </c>
      <c r="L20" s="349">
        <f>'Forest(VESTA)'!P29</f>
        <v>1389.3002807193109</v>
      </c>
      <c r="M20" s="349">
        <f>'DryForest(VESTA)'!P29</f>
        <v>2103.2411661563037</v>
      </c>
      <c r="N20" s="349">
        <f>'VESTA Mk2 Dry'!Y29</f>
        <v>2998.985506372449</v>
      </c>
      <c r="O20" s="349"/>
      <c r="P20" s="349">
        <f>RedBook!AA29</f>
        <v>0</v>
      </c>
      <c r="Q20" s="350">
        <f>Grass!W24</f>
        <v>0</v>
      </c>
      <c r="R20" s="350">
        <f>Grass!AB24</f>
        <v>0</v>
      </c>
      <c r="S20" s="350">
        <f>Grass!AG24</f>
        <v>0</v>
      </c>
      <c r="T20" s="350">
        <f>Heath!L24</f>
        <v>0</v>
      </c>
      <c r="U20" s="351">
        <f>Buttongrass!M28</f>
        <v>0</v>
      </c>
      <c r="V20" s="352">
        <f>'WA Mallee'!J24</f>
        <v>0</v>
      </c>
      <c r="W20" s="344">
        <f>'Forest(McArthur)'!S24</f>
        <v>8537.626346935489</v>
      </c>
      <c r="X20" s="344" t="e">
        <f>'Forest(McArthur)'!AF24</f>
        <v>#NUM!</v>
      </c>
      <c r="Y20" s="344">
        <f>'Forest(VESTA)'!T29</f>
        <v>16509.518335881145</v>
      </c>
      <c r="Z20" s="344">
        <f>'DryForest(VESTA)'!T29</f>
        <v>24993.515857824077</v>
      </c>
      <c r="AA20" s="344">
        <f>'VESTA Mk2 Dry'!AB29</f>
        <v>35637.944434059274</v>
      </c>
      <c r="AB20" s="344">
        <f>'VESTA Mk2 Wet'!AC29</f>
        <v>0</v>
      </c>
      <c r="AC20" s="345">
        <f>Grass!Z24</f>
        <v>0</v>
      </c>
      <c r="AD20" s="345">
        <f>Grass!AE24</f>
        <v>0</v>
      </c>
      <c r="AE20" s="345">
        <f>Grass!AJ24</f>
        <v>0</v>
      </c>
      <c r="AF20" s="346">
        <f>'Forest(McArthur)'!Q24</f>
        <v>15.114411433364197</v>
      </c>
      <c r="AG20" s="346" t="e">
        <f>'Forest(McArthur)'!AD24</f>
        <v>#NUM!</v>
      </c>
      <c r="AH20" s="346">
        <f>'Forest(VESTA)'!R29</f>
        <v>6.0277839947723484</v>
      </c>
      <c r="AI20" s="346">
        <f>'DryForest(VESTA)'!R29</f>
        <v>8.1351372398628374</v>
      </c>
      <c r="AJ20" s="346">
        <f>'VESTA Mk2 Dry'!Z29</f>
        <v>10.514014000762806</v>
      </c>
      <c r="AK20" s="346">
        <f>'VESTA Mk2 Wet'!AA29</f>
        <v>2.8098913115529696</v>
      </c>
      <c r="AL20" s="346">
        <f>Grass!Y24</f>
        <v>0</v>
      </c>
      <c r="AM20" s="346">
        <f>Grass!AD24</f>
        <v>0</v>
      </c>
      <c r="AN20" s="346">
        <f>Grass!AI24</f>
        <v>0</v>
      </c>
      <c r="AO20" s="347">
        <f>'Forest(McArthur)'!R24</f>
        <v>2590.4001401464816</v>
      </c>
      <c r="AP20" s="348">
        <f>'Forest(VESTA)'!S29</f>
        <v>2270.2665282171492</v>
      </c>
      <c r="AQ20" s="348">
        <f>'DryForest(VESTA)'!S29</f>
        <v>3460.8880710881831</v>
      </c>
    </row>
    <row r="21" spans="1:43" x14ac:dyDescent="0.25">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21.962070018483388</v>
      </c>
      <c r="I21" s="33">
        <f>Grass!I25</f>
        <v>0</v>
      </c>
      <c r="J21" s="349">
        <f>'Forest(McArthur)'!O25</f>
        <v>632.50761653232155</v>
      </c>
      <c r="K21" s="349" t="e">
        <f>'Forest(McArthur)'!AB25</f>
        <v>#NUM!</v>
      </c>
      <c r="L21" s="349">
        <f>'Forest(VESTA)'!P30</f>
        <v>1005.3647858542707</v>
      </c>
      <c r="M21" s="349">
        <f>'DryForest(VESTA)'!P30</f>
        <v>1519.9911160561326</v>
      </c>
      <c r="N21" s="349">
        <f>'VESTA Mk2 Dry'!Y30</f>
        <v>1413.2316665545291</v>
      </c>
      <c r="O21" s="349"/>
      <c r="P21" s="349">
        <f>RedBook!AA30</f>
        <v>0</v>
      </c>
      <c r="Q21" s="350">
        <f>Grass!W25</f>
        <v>0</v>
      </c>
      <c r="R21" s="350">
        <f>Grass!AB25</f>
        <v>0</v>
      </c>
      <c r="S21" s="350">
        <f>Grass!AG25</f>
        <v>0</v>
      </c>
      <c r="T21" s="350">
        <f>Heath!L25</f>
        <v>0</v>
      </c>
      <c r="U21" s="351">
        <f>Buttongrass!M29</f>
        <v>0</v>
      </c>
      <c r="V21" s="352">
        <f>'WA Mallee'!J25</f>
        <v>0</v>
      </c>
      <c r="W21" s="344">
        <f>'Forest(McArthur)'!S25</f>
        <v>6182.749180973472</v>
      </c>
      <c r="X21" s="344" t="e">
        <f>'Forest(McArthur)'!AF25</f>
        <v>#NUM!</v>
      </c>
      <c r="Y21" s="344">
        <f>'Forest(VESTA)'!T30</f>
        <v>11947.084871901581</v>
      </c>
      <c r="Z21" s="344">
        <f>'DryForest(VESTA)'!T30</f>
        <v>18062.561095800374</v>
      </c>
      <c r="AA21" s="344">
        <f>'VESTA Mk2 Dry'!AB30</f>
        <v>16793.902970889652</v>
      </c>
      <c r="AB21" s="344">
        <f>'VESTA Mk2 Wet'!AC30</f>
        <v>0</v>
      </c>
      <c r="AC21" s="345">
        <f>Grass!Z25</f>
        <v>0</v>
      </c>
      <c r="AD21" s="345">
        <f>Grass!AE25</f>
        <v>0</v>
      </c>
      <c r="AE21" s="345">
        <f>Grass!AJ25</f>
        <v>0</v>
      </c>
      <c r="AF21" s="346">
        <f>'Forest(McArthur)'!Q25</f>
        <v>11.982599014920181</v>
      </c>
      <c r="AG21" s="346" t="e">
        <f>'Forest(McArthur)'!AD25</f>
        <v>#NUM!</v>
      </c>
      <c r="AH21" s="346">
        <f>'Forest(VESTA)'!R30</f>
        <v>4.7708536758094517</v>
      </c>
      <c r="AI21" s="346">
        <f>'DryForest(VESTA)'!R30</f>
        <v>6.4326091272017569</v>
      </c>
      <c r="AJ21" s="346">
        <f>'VESTA Mk2 Dry'!Z30</f>
        <v>6.102676420462962</v>
      </c>
      <c r="AK21" s="346">
        <f>'VESTA Mk2 Wet'!AA30</f>
        <v>2.4290007520756891</v>
      </c>
      <c r="AL21" s="346">
        <f>Grass!Y25</f>
        <v>0</v>
      </c>
      <c r="AM21" s="346">
        <f>Grass!AD25</f>
        <v>0</v>
      </c>
      <c r="AN21" s="346">
        <f>Grass!AI25</f>
        <v>0</v>
      </c>
      <c r="AO21" s="347">
        <f>'Forest(McArthur)'!R25</f>
        <v>1776.6107286461822</v>
      </c>
      <c r="AP21" s="348">
        <f>'Forest(VESTA)'!S30</f>
        <v>1572.9118804898944</v>
      </c>
      <c r="AQ21" s="348">
        <f>'DryForest(VESTA)'!S30</f>
        <v>2584.1488026141633</v>
      </c>
    </row>
    <row r="22" spans="1:43" x14ac:dyDescent="0.25">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20.449059175359459</v>
      </c>
      <c r="I22" s="33">
        <f>Grass!I26</f>
        <v>0</v>
      </c>
      <c r="J22" s="349">
        <f>'Forest(McArthur)'!O26</f>
        <v>588.93290425035241</v>
      </c>
      <c r="K22" s="349" t="e">
        <f>'Forest(McArthur)'!AB26</f>
        <v>#NUM!</v>
      </c>
      <c r="L22" s="349">
        <f>'Forest(VESTA)'!P31</f>
        <v>1003.5237845702427</v>
      </c>
      <c r="M22" s="349">
        <f>'DryForest(VESTA)'!P31</f>
        <v>1510.5990298521394</v>
      </c>
      <c r="N22" s="349">
        <f>'VESTA Mk2 Dry'!Y31</f>
        <v>1407.6761715871294</v>
      </c>
      <c r="O22" s="349"/>
      <c r="P22" s="349">
        <f>RedBook!AA31</f>
        <v>0</v>
      </c>
      <c r="Q22" s="350">
        <f>Grass!W26</f>
        <v>0</v>
      </c>
      <c r="R22" s="350">
        <f>Grass!AB26</f>
        <v>0</v>
      </c>
      <c r="S22" s="350">
        <f>Grass!AG26</f>
        <v>0</v>
      </c>
      <c r="T22" s="350">
        <f>Heath!L26</f>
        <v>0</v>
      </c>
      <c r="U22" s="351">
        <f>Buttongrass!M30</f>
        <v>0</v>
      </c>
      <c r="V22" s="352">
        <f>'WA Mallee'!J26</f>
        <v>0</v>
      </c>
      <c r="W22" s="344">
        <f>'Forest(McArthur)'!S26</f>
        <v>5756.8072482114148</v>
      </c>
      <c r="X22" s="344" t="e">
        <f>'Forest(McArthur)'!AF26</f>
        <v>#NUM!</v>
      </c>
      <c r="Y22" s="344">
        <f>'Forest(VESTA)'!T31</f>
        <v>11925.207639976385</v>
      </c>
      <c r="Z22" s="344">
        <f>'DryForest(VESTA)'!T31</f>
        <v>17950.951804742923</v>
      </c>
      <c r="AA22" s="344">
        <f>'VESTA Mk2 Dry'!AB31</f>
        <v>16727.885172360388</v>
      </c>
      <c r="AB22" s="344">
        <f>'VESTA Mk2 Wet'!AC31</f>
        <v>0</v>
      </c>
      <c r="AC22" s="345">
        <f>Grass!Z26</f>
        <v>0</v>
      </c>
      <c r="AD22" s="345">
        <f>Grass!AE26</f>
        <v>0</v>
      </c>
      <c r="AE22" s="345">
        <f>Grass!AJ26</f>
        <v>0</v>
      </c>
      <c r="AF22" s="346">
        <f>'Forest(McArthur)'!Q26</f>
        <v>11.416127755254582</v>
      </c>
      <c r="AG22" s="346" t="e">
        <f>'Forest(McArthur)'!AD26</f>
        <v>#NUM!</v>
      </c>
      <c r="AH22" s="346">
        <f>'Forest(VESTA)'!R31</f>
        <v>4.764535742563953</v>
      </c>
      <c r="AI22" s="346">
        <f>'DryForest(VESTA)'!R31</f>
        <v>6.4038471346484318</v>
      </c>
      <c r="AJ22" s="346">
        <f>'VESTA Mk2 Dry'!Z31</f>
        <v>6.0853222114792134</v>
      </c>
      <c r="AK22" s="346">
        <f>'VESTA Mk2 Wet'!AA31</f>
        <v>2.4472749049624931</v>
      </c>
      <c r="AL22" s="346">
        <f>Grass!Y26</f>
        <v>0</v>
      </c>
      <c r="AM22" s="346">
        <f>Grass!AD26</f>
        <v>0</v>
      </c>
      <c r="AN22" s="346">
        <f>Grass!AI26</f>
        <v>0</v>
      </c>
      <c r="AO22" s="347">
        <f>'Forest(McArthur)'!R26</f>
        <v>1629.4153505576903</v>
      </c>
      <c r="AP22" s="348">
        <f>'Forest(VESTA)'!S31</f>
        <v>1552.7731056094135</v>
      </c>
      <c r="AQ22" s="348">
        <f>'DryForest(VESTA)'!S31</f>
        <v>2546.9330837573871</v>
      </c>
    </row>
    <row r="23" spans="1:43" x14ac:dyDescent="0.25">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16.384354332055356</v>
      </c>
      <c r="I23" s="33">
        <f>Grass!I27</f>
        <v>0</v>
      </c>
      <c r="J23" s="349">
        <f>'Forest(McArthur)'!O27</f>
        <v>471.86940476319415</v>
      </c>
      <c r="K23" s="349" t="e">
        <f>'Forest(McArthur)'!AB27</f>
        <v>#NUM!</v>
      </c>
      <c r="L23" s="349">
        <f>'Forest(VESTA)'!P32</f>
        <v>839.26543867492614</v>
      </c>
      <c r="M23" s="349">
        <f>'DryForest(VESTA)'!P32</f>
        <v>1261.0714522634407</v>
      </c>
      <c r="N23" s="349">
        <f>'VESTA Mk2 Dry'!Y32</f>
        <v>1072.2113317938733</v>
      </c>
      <c r="O23" s="349"/>
      <c r="P23" s="349">
        <f>RedBook!AA32</f>
        <v>0</v>
      </c>
      <c r="Q23" s="350">
        <f>Grass!W27</f>
        <v>0</v>
      </c>
      <c r="R23" s="350">
        <f>Grass!AB27</f>
        <v>0</v>
      </c>
      <c r="S23" s="350">
        <f>Grass!AG27</f>
        <v>0</v>
      </c>
      <c r="T23" s="350">
        <f>Heath!L27</f>
        <v>0</v>
      </c>
      <c r="U23" s="351">
        <f>Buttongrass!M31</f>
        <v>0</v>
      </c>
      <c r="V23" s="352">
        <f>'WA Mallee'!J27</f>
        <v>0</v>
      </c>
      <c r="W23" s="344">
        <f>'Forest(McArthur)'!S27</f>
        <v>4612.5139042922419</v>
      </c>
      <c r="X23" s="344" t="e">
        <f>'Forest(McArthur)'!AF27</f>
        <v>#NUM!</v>
      </c>
      <c r="Y23" s="344">
        <f>'Forest(VESTA)'!T32</f>
        <v>9973.2709629203728</v>
      </c>
      <c r="Z23" s="344">
        <f>'DryForest(VESTA)'!T32</f>
        <v>14985.73242439722</v>
      </c>
      <c r="AA23" s="344">
        <f>'VESTA Mk2 Dry'!AB32</f>
        <v>12741.444659483863</v>
      </c>
      <c r="AB23" s="344">
        <f>'VESTA Mk2 Wet'!AC32</f>
        <v>0</v>
      </c>
      <c r="AC23" s="345">
        <f>Grass!Z27</f>
        <v>0</v>
      </c>
      <c r="AD23" s="345">
        <f>Grass!AE27</f>
        <v>0</v>
      </c>
      <c r="AE23" s="345">
        <f>Grass!AJ27</f>
        <v>0</v>
      </c>
      <c r="AF23" s="346">
        <f>'Forest(McArthur)'!Q27</f>
        <v>9.8943022619215242</v>
      </c>
      <c r="AG23" s="346" t="e">
        <f>'Forest(McArthur)'!AD27</f>
        <v>#NUM!</v>
      </c>
      <c r="AH23" s="346">
        <f>'Forest(VESTA)'!R32</f>
        <v>4.1869261991625626</v>
      </c>
      <c r="AI23" s="346">
        <f>'DryForest(VESTA)'!R32</f>
        <v>5.6201885105531284</v>
      </c>
      <c r="AJ23" s="346">
        <f>'VESTA Mk2 Dry'!Z32</f>
        <v>4.9981444999958553</v>
      </c>
      <c r="AK23" s="346">
        <f>'VESTA Mk2 Wet'!AA32</f>
        <v>2.2453020210843295</v>
      </c>
      <c r="AL23" s="346">
        <f>Grass!Y27</f>
        <v>0</v>
      </c>
      <c r="AM23" s="346">
        <f>Grass!AD27</f>
        <v>0</v>
      </c>
      <c r="AN23" s="346">
        <f>Grass!AI27</f>
        <v>0</v>
      </c>
      <c r="AO23" s="347">
        <f>'Forest(McArthur)'!R27</f>
        <v>1233.9748492900701</v>
      </c>
      <c r="AP23" s="348">
        <f>'Forest(VESTA)'!S32</f>
        <v>1201.006804265272</v>
      </c>
      <c r="AQ23" s="348">
        <f>'DryForest(VESTA)'!S32</f>
        <v>2098.5098838652375</v>
      </c>
    </row>
    <row r="24" spans="1:43" x14ac:dyDescent="0.25">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12.662778651012133</v>
      </c>
      <c r="I24" s="33">
        <f>Grass!I28</f>
        <v>0</v>
      </c>
      <c r="J24" s="349">
        <f>'Forest(McArthur)'!O28</f>
        <v>364.68802514914938</v>
      </c>
      <c r="K24" s="349" t="e">
        <f>'Forest(McArthur)'!AB28</f>
        <v>#NUM!</v>
      </c>
      <c r="L24" s="349">
        <f>'Forest(VESTA)'!P33</f>
        <v>654.66666712554775</v>
      </c>
      <c r="M24" s="349">
        <f>'DryForest(VESTA)'!P33</f>
        <v>987.34461663706895</v>
      </c>
      <c r="N24" s="349">
        <f>'VESTA Mk2 Dry'!Y33</f>
        <v>863.45673599043585</v>
      </c>
      <c r="O24" s="349"/>
      <c r="P24" s="349">
        <f>RedBook!AA33</f>
        <v>0</v>
      </c>
      <c r="Q24" s="350">
        <f>Grass!W28</f>
        <v>0</v>
      </c>
      <c r="R24" s="350">
        <f>Grass!AB28</f>
        <v>0</v>
      </c>
      <c r="S24" s="350">
        <f>Grass!AG28</f>
        <v>0</v>
      </c>
      <c r="T24" s="350">
        <f>Heath!L28</f>
        <v>0</v>
      </c>
      <c r="U24" s="351">
        <f>Buttongrass!M32</f>
        <v>0</v>
      </c>
      <c r="V24" s="352">
        <f>'WA Mallee'!J28</f>
        <v>0</v>
      </c>
      <c r="W24" s="344">
        <f>'Forest(McArthur)'!S28</f>
        <v>3564.818082608047</v>
      </c>
      <c r="X24" s="344" t="e">
        <f>'Forest(McArthur)'!AF28</f>
        <v>#NUM!</v>
      </c>
      <c r="Y24" s="344">
        <f>'Forest(VESTA)'!T33</f>
        <v>7779.6222276752596</v>
      </c>
      <c r="Z24" s="344">
        <f>'DryForest(VESTA)'!T33</f>
        <v>11732.945194370503</v>
      </c>
      <c r="AA24" s="344">
        <f>'VESTA Mk2 Dry'!AB33</f>
        <v>10260.744212686346</v>
      </c>
      <c r="AB24" s="344">
        <f>'VESTA Mk2 Wet'!AC33</f>
        <v>0</v>
      </c>
      <c r="AC24" s="345">
        <f>Grass!Z28</f>
        <v>0</v>
      </c>
      <c r="AD24" s="345">
        <f>Grass!AE28</f>
        <v>0</v>
      </c>
      <c r="AE24" s="345">
        <f>Grass!AJ28</f>
        <v>0</v>
      </c>
      <c r="AF24" s="346">
        <f>'Forest(McArthur)'!Q28</f>
        <v>8.5009443269389422</v>
      </c>
      <c r="AG24" s="346" t="e">
        <f>'Forest(McArthur)'!AD28</f>
        <v>#NUM!</v>
      </c>
      <c r="AH24" s="346">
        <f>'Forest(VESTA)'!R33</f>
        <v>3.4986355870289079</v>
      </c>
      <c r="AI24" s="346">
        <f>'DryForest(VESTA)'!R33</f>
        <v>4.7088732338264467</v>
      </c>
      <c r="AJ24" s="346">
        <f>'VESTA Mk2 Dry'!Z33</f>
        <v>4.2738376874720183</v>
      </c>
      <c r="AK24" s="346">
        <f>'VESTA Mk2 Wet'!AA33</f>
        <v>1.9289320939872099</v>
      </c>
      <c r="AL24" s="346">
        <f>Grass!Y28</f>
        <v>0</v>
      </c>
      <c r="AM24" s="346">
        <f>Grass!AD28</f>
        <v>0</v>
      </c>
      <c r="AN24" s="346">
        <f>Grass!AI28</f>
        <v>0</v>
      </c>
      <c r="AO24" s="347">
        <f>'Forest(McArthur)'!R28</f>
        <v>871.91614895382668</v>
      </c>
      <c r="AP24" s="348">
        <f>'Forest(VESTA)'!S33</f>
        <v>807.93719470391261</v>
      </c>
      <c r="AQ24" s="348">
        <f>'DryForest(VESTA)'!S33</f>
        <v>1603.9218652288646</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48" t="s">
        <v>809</v>
      </c>
      <c r="F32" s="748"/>
      <c r="G32" s="748"/>
    </row>
    <row r="33" spans="1:7" x14ac:dyDescent="0.3">
      <c r="A33" s="459" t="s">
        <v>21</v>
      </c>
      <c r="B33" s="460">
        <v>450</v>
      </c>
      <c r="C33" s="460">
        <v>5</v>
      </c>
      <c r="D33" s="460">
        <v>20</v>
      </c>
      <c r="E33" s="749" t="s">
        <v>787</v>
      </c>
      <c r="F33" s="749"/>
      <c r="G33" s="749"/>
    </row>
    <row r="34" spans="1:7" ht="18" x14ac:dyDescent="0.3">
      <c r="A34" s="466" t="s">
        <v>791</v>
      </c>
      <c r="B34" s="467">
        <f>C34*IF(E34="1400L Medium Helicopter",(360/D34*5),IF(E34="2500L Fixed-wing",(140/D34*30),0))</f>
        <v>420</v>
      </c>
      <c r="C34" s="468">
        <v>2</v>
      </c>
      <c r="D34" s="468">
        <v>20</v>
      </c>
      <c r="E34" s="750" t="s">
        <v>793</v>
      </c>
      <c r="F34" s="750"/>
      <c r="G34" s="750"/>
    </row>
    <row r="35" spans="1:7" ht="18" x14ac:dyDescent="0.3">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44549.166666666664</v>
      </c>
      <c r="B2">
        <f>Weather_Site!D12</f>
        <v>23.9</v>
      </c>
      <c r="C2">
        <f>Weather_Site!E12</f>
        <v>24.2</v>
      </c>
      <c r="D2">
        <f>Weather_Site!F12</f>
        <v>36</v>
      </c>
      <c r="E2">
        <f>Weather_Site!G12</f>
        <v>16</v>
      </c>
      <c r="F2">
        <f>'Forest(McArthur)'!M9</f>
        <v>7.882539682539683</v>
      </c>
      <c r="G2">
        <f>Grass!$C$4</f>
        <v>85</v>
      </c>
      <c r="H2">
        <v>0</v>
      </c>
    </row>
    <row r="3" spans="1:8" x14ac:dyDescent="0.25">
      <c r="A3" s="230">
        <f>Weather_Site!B13+Weather_Site!C13</f>
        <v>44549.208333333336</v>
      </c>
      <c r="B3">
        <f>Weather_Site!D13</f>
        <v>23.6</v>
      </c>
      <c r="C3">
        <f>Weather_Site!E13</f>
        <v>24.4</v>
      </c>
      <c r="D3">
        <f>Weather_Site!F13</f>
        <v>312</v>
      </c>
      <c r="E3">
        <f>Weather_Site!G13</f>
        <v>13</v>
      </c>
      <c r="F3">
        <f>'Forest(McArthur)'!M10</f>
        <v>7.882539682539683</v>
      </c>
      <c r="G3">
        <f>Grass!$C$4</f>
        <v>85</v>
      </c>
      <c r="H3">
        <v>0</v>
      </c>
    </row>
    <row r="4" spans="1:8" x14ac:dyDescent="0.25">
      <c r="A4" s="230">
        <f>Weather_Site!B14+Weather_Site!C14</f>
        <v>44549.25</v>
      </c>
      <c r="B4">
        <f>Weather_Site!D14</f>
        <v>22.7</v>
      </c>
      <c r="C4">
        <f>Weather_Site!E14</f>
        <v>27.3</v>
      </c>
      <c r="D4">
        <f>Weather_Site!F14</f>
        <v>336</v>
      </c>
      <c r="E4">
        <f>Weather_Site!G14</f>
        <v>16</v>
      </c>
      <c r="F4">
        <f>'Forest(McArthur)'!M11</f>
        <v>7.882539682539683</v>
      </c>
      <c r="G4">
        <f>Grass!$C$4</f>
        <v>85</v>
      </c>
      <c r="H4">
        <v>0</v>
      </c>
    </row>
    <row r="5" spans="1:8" x14ac:dyDescent="0.25">
      <c r="A5" s="230">
        <f>Weather_Site!B15+Weather_Site!C15</f>
        <v>44549.291666666664</v>
      </c>
      <c r="B5">
        <f>Weather_Site!D15</f>
        <v>23</v>
      </c>
      <c r="C5">
        <f>Weather_Site!E15</f>
        <v>28.2</v>
      </c>
      <c r="D5">
        <f>Weather_Site!F15</f>
        <v>2</v>
      </c>
      <c r="E5">
        <f>Weather_Site!G15</f>
        <v>25</v>
      </c>
      <c r="F5">
        <f>'Forest(McArthur)'!M12</f>
        <v>7.882539682539683</v>
      </c>
      <c r="G5">
        <f>Grass!$C$4</f>
        <v>85</v>
      </c>
      <c r="H5">
        <v>0</v>
      </c>
    </row>
    <row r="6" spans="1:8" x14ac:dyDescent="0.25">
      <c r="A6" s="230">
        <f>Weather_Site!B16+Weather_Site!C16</f>
        <v>44549.333333333336</v>
      </c>
      <c r="B6">
        <f>Weather_Site!D16</f>
        <v>25.3</v>
      </c>
      <c r="C6">
        <f>Weather_Site!E16</f>
        <v>26</v>
      </c>
      <c r="D6">
        <f>Weather_Site!F16</f>
        <v>0</v>
      </c>
      <c r="E6">
        <f>Weather_Site!G16</f>
        <v>32</v>
      </c>
      <c r="F6">
        <f>'Forest(McArthur)'!M13</f>
        <v>7.882539682539683</v>
      </c>
      <c r="G6">
        <f>Grass!$C$4</f>
        <v>85</v>
      </c>
      <c r="H6">
        <v>0</v>
      </c>
    </row>
    <row r="7" spans="1:8" x14ac:dyDescent="0.25">
      <c r="A7" s="230">
        <f>Weather_Site!B17+Weather_Site!C17</f>
        <v>44549.375</v>
      </c>
      <c r="B7">
        <f>Weather_Site!D17</f>
        <v>27.7</v>
      </c>
      <c r="C7">
        <f>Weather_Site!E17</f>
        <v>28</v>
      </c>
      <c r="D7">
        <f>Weather_Site!F17</f>
        <v>328</v>
      </c>
      <c r="E7">
        <f>Weather_Site!G17</f>
        <v>27</v>
      </c>
      <c r="F7">
        <f>'Forest(McArthur)'!M14</f>
        <v>7.882539682539683</v>
      </c>
      <c r="G7">
        <f>Grass!$C$4</f>
        <v>85</v>
      </c>
      <c r="H7">
        <v>0</v>
      </c>
    </row>
    <row r="8" spans="1:8" x14ac:dyDescent="0.25">
      <c r="A8" s="230">
        <f>Weather_Site!B18+Weather_Site!C18</f>
        <v>44549.416666666664</v>
      </c>
      <c r="B8">
        <f>Weather_Site!D18</f>
        <v>28.9</v>
      </c>
      <c r="C8">
        <f>Weather_Site!E18</f>
        <v>31.9</v>
      </c>
      <c r="D8">
        <f>Weather_Site!F18</f>
        <v>328</v>
      </c>
      <c r="E8">
        <f>Weather_Site!G18</f>
        <v>42</v>
      </c>
      <c r="F8">
        <f>'Forest(McArthur)'!M15</f>
        <v>7.882539682539683</v>
      </c>
      <c r="G8">
        <f>Grass!$C$4</f>
        <v>85</v>
      </c>
      <c r="H8">
        <v>0</v>
      </c>
    </row>
    <row r="9" spans="1:8" x14ac:dyDescent="0.25">
      <c r="A9" s="230">
        <f>Weather_Site!B19+Weather_Site!C19</f>
        <v>44549.458333333336</v>
      </c>
      <c r="B9">
        <f>Weather_Site!D19</f>
        <v>29.1</v>
      </c>
      <c r="C9">
        <f>Weather_Site!E19</f>
        <v>35.1</v>
      </c>
      <c r="D9">
        <f>Weather_Site!F19</f>
        <v>326</v>
      </c>
      <c r="E9">
        <f>Weather_Site!G19</f>
        <v>43</v>
      </c>
      <c r="F9">
        <f>'Forest(McArthur)'!M16</f>
        <v>7.882539682539683</v>
      </c>
      <c r="G9">
        <f>Grass!$C$4</f>
        <v>85</v>
      </c>
      <c r="H9">
        <v>0</v>
      </c>
    </row>
    <row r="10" spans="1:8" x14ac:dyDescent="0.25">
      <c r="A10" s="230">
        <f>Weather_Site!B20+Weather_Site!C20</f>
        <v>44549.5</v>
      </c>
      <c r="B10">
        <f>Weather_Site!D20</f>
        <v>29.1</v>
      </c>
      <c r="C10">
        <f>Weather_Site!E20</f>
        <v>39</v>
      </c>
      <c r="D10">
        <f>Weather_Site!F20</f>
        <v>292</v>
      </c>
      <c r="E10">
        <f>Weather_Site!G20</f>
        <v>45</v>
      </c>
      <c r="F10">
        <f>'Forest(McArthur)'!M17</f>
        <v>7.882539682539683</v>
      </c>
      <c r="G10">
        <f>Grass!$C$4</f>
        <v>85</v>
      </c>
      <c r="H10">
        <v>0</v>
      </c>
    </row>
    <row r="11" spans="1:8" x14ac:dyDescent="0.25">
      <c r="A11" s="230">
        <f>Weather_Site!B21+Weather_Site!C21</f>
        <v>44549.541666666664</v>
      </c>
      <c r="B11">
        <f>Weather_Site!D21</f>
        <v>29.1</v>
      </c>
      <c r="C11">
        <f>Weather_Site!E21</f>
        <v>38.200000000000003</v>
      </c>
      <c r="D11">
        <f>Weather_Site!F21</f>
        <v>285</v>
      </c>
      <c r="E11">
        <f>Weather_Site!G21</f>
        <v>40</v>
      </c>
      <c r="F11">
        <f>'Forest(McArthur)'!M18</f>
        <v>7.882539682539683</v>
      </c>
      <c r="G11">
        <f>Grass!$C$4</f>
        <v>85</v>
      </c>
      <c r="H11">
        <v>0</v>
      </c>
    </row>
    <row r="12" spans="1:8" x14ac:dyDescent="0.25">
      <c r="A12" s="230">
        <f>Weather_Site!B22+Weather_Site!C22</f>
        <v>44549.583333333336</v>
      </c>
      <c r="B12">
        <f>Weather_Site!D22</f>
        <v>30.8</v>
      </c>
      <c r="C12">
        <f>Weather_Site!E22</f>
        <v>35.799999999999997</v>
      </c>
      <c r="D12">
        <f>Weather_Site!F22</f>
        <v>277</v>
      </c>
      <c r="E12">
        <f>Weather_Site!G22</f>
        <v>42</v>
      </c>
      <c r="F12">
        <f>'Forest(McArthur)'!M19</f>
        <v>7.882539682539683</v>
      </c>
      <c r="G12">
        <f>Grass!$C$4</f>
        <v>85</v>
      </c>
      <c r="H12">
        <v>0</v>
      </c>
    </row>
    <row r="13" spans="1:8" x14ac:dyDescent="0.25">
      <c r="A13" s="230">
        <f>Weather_Site!B23+Weather_Site!C23</f>
        <v>44549.625</v>
      </c>
      <c r="B13">
        <f>Weather_Site!D23</f>
        <v>31.1</v>
      </c>
      <c r="C13">
        <f>Weather_Site!E23</f>
        <v>29.9</v>
      </c>
      <c r="D13">
        <f>Weather_Site!F23</f>
        <v>258</v>
      </c>
      <c r="E13">
        <f>Weather_Site!G23</f>
        <v>37</v>
      </c>
      <c r="F13">
        <f>'Forest(McArthur)'!M20</f>
        <v>7.882539682539683</v>
      </c>
      <c r="G13">
        <f>Grass!$C$4</f>
        <v>85</v>
      </c>
      <c r="H13">
        <v>0</v>
      </c>
    </row>
    <row r="14" spans="1:8" x14ac:dyDescent="0.25">
      <c r="A14" s="230">
        <f>Weather_Site!B24+Weather_Site!C24</f>
        <v>44549.666666666664</v>
      </c>
      <c r="B14">
        <f>Weather_Site!D24</f>
        <v>32.4</v>
      </c>
      <c r="C14">
        <f>Weather_Site!E24</f>
        <v>25.1</v>
      </c>
      <c r="D14">
        <f>Weather_Site!F24</f>
        <v>261</v>
      </c>
      <c r="E14">
        <f>Weather_Site!G24</f>
        <v>37</v>
      </c>
      <c r="F14">
        <f>'Forest(McArthur)'!M21</f>
        <v>7.882539682539683</v>
      </c>
      <c r="G14">
        <f>Grass!$C$4</f>
        <v>85</v>
      </c>
      <c r="H14">
        <v>0</v>
      </c>
    </row>
    <row r="15" spans="1:8" x14ac:dyDescent="0.25">
      <c r="A15" s="230">
        <f>Weather_Site!B25+Weather_Site!C25</f>
        <v>44549.708333333336</v>
      </c>
      <c r="B15">
        <f>Weather_Site!D25</f>
        <v>32.299999999999997</v>
      </c>
      <c r="C15">
        <f>Weather_Site!E25</f>
        <v>22.5</v>
      </c>
      <c r="D15">
        <f>Weather_Site!F25</f>
        <v>243</v>
      </c>
      <c r="E15">
        <f>Weather_Site!G25</f>
        <v>34</v>
      </c>
      <c r="F15">
        <f>'Forest(McArthur)'!M22</f>
        <v>7.882539682539683</v>
      </c>
      <c r="G15">
        <f>Grass!$C$4</f>
        <v>85</v>
      </c>
      <c r="H15">
        <v>0</v>
      </c>
    </row>
    <row r="16" spans="1:8" x14ac:dyDescent="0.25">
      <c r="A16" s="230">
        <f>Weather_Site!B26+Weather_Site!C26</f>
        <v>44549.75</v>
      </c>
      <c r="B16">
        <f>Weather_Site!D26</f>
        <v>31.4</v>
      </c>
      <c r="C16">
        <f>Weather_Site!E26</f>
        <v>21.8</v>
      </c>
      <c r="D16">
        <f>Weather_Site!F26</f>
        <v>237</v>
      </c>
      <c r="E16">
        <f>Weather_Site!G26</f>
        <v>37</v>
      </c>
      <c r="F16">
        <f>'Forest(McArthur)'!M23</f>
        <v>7.882539682539683</v>
      </c>
      <c r="G16">
        <f>Grass!$C$4</f>
        <v>85</v>
      </c>
      <c r="H16">
        <v>0</v>
      </c>
    </row>
    <row r="17" spans="1:8" x14ac:dyDescent="0.25">
      <c r="A17" s="230">
        <f>Weather_Site!B27+Weather_Site!C27</f>
        <v>44549.791666666664</v>
      </c>
      <c r="B17">
        <f>Weather_Site!D27</f>
        <v>30.1</v>
      </c>
      <c r="C17">
        <f>Weather_Site!E27</f>
        <v>21.8</v>
      </c>
      <c r="D17">
        <f>Weather_Site!F27</f>
        <v>226</v>
      </c>
      <c r="E17">
        <f>Weather_Site!G27</f>
        <v>37</v>
      </c>
      <c r="F17">
        <f>'Forest(McArthur)'!M24</f>
        <v>7.882539682539683</v>
      </c>
      <c r="G17">
        <f>Grass!$C$4</f>
        <v>85</v>
      </c>
      <c r="H17">
        <v>0</v>
      </c>
    </row>
    <row r="18" spans="1:8" x14ac:dyDescent="0.25">
      <c r="A18" s="230">
        <f>Weather_Site!B28+Weather_Site!C28</f>
        <v>44549.833333333336</v>
      </c>
      <c r="B18">
        <f>Weather_Site!D28</f>
        <v>27.2</v>
      </c>
      <c r="C18">
        <f>Weather_Site!E28</f>
        <v>25.6</v>
      </c>
      <c r="D18">
        <f>Weather_Site!F28</f>
        <v>215</v>
      </c>
      <c r="E18">
        <f>Weather_Site!G28</f>
        <v>33</v>
      </c>
      <c r="F18">
        <f>'Forest(McArthur)'!M25</f>
        <v>7.882539682539683</v>
      </c>
      <c r="G18">
        <f>Grass!$C$4</f>
        <v>85</v>
      </c>
      <c r="H18">
        <v>0</v>
      </c>
    </row>
    <row r="19" spans="1:8" x14ac:dyDescent="0.25">
      <c r="A19" s="230">
        <f>Weather_Site!B29+Weather_Site!C29</f>
        <v>44549.875</v>
      </c>
      <c r="B19">
        <f>Weather_Site!D29</f>
        <v>24.6</v>
      </c>
      <c r="C19">
        <f>Weather_Site!E29</f>
        <v>25.8</v>
      </c>
      <c r="D19">
        <f>Weather_Site!F29</f>
        <v>210</v>
      </c>
      <c r="E19">
        <f>Weather_Site!G29</f>
        <v>34</v>
      </c>
      <c r="F19">
        <f>'Forest(McArthur)'!M26</f>
        <v>7.882539682539683</v>
      </c>
      <c r="G19">
        <f>Grass!$C$4</f>
        <v>85</v>
      </c>
      <c r="H19">
        <v>0</v>
      </c>
    </row>
    <row r="20" spans="1:8" x14ac:dyDescent="0.25">
      <c r="A20" s="230">
        <f>Weather_Site!B30+Weather_Site!C30</f>
        <v>44549.916666666664</v>
      </c>
      <c r="B20">
        <f>Weather_Site!D30</f>
        <v>21.9</v>
      </c>
      <c r="C20">
        <f>Weather_Site!E30</f>
        <v>28.9</v>
      </c>
      <c r="D20">
        <f>Weather_Site!F30</f>
        <v>210</v>
      </c>
      <c r="E20">
        <f>Weather_Site!G30</f>
        <v>33</v>
      </c>
      <c r="F20">
        <f>'Forest(McArthur)'!M27</f>
        <v>7.882539682539683</v>
      </c>
      <c r="G20">
        <f>Grass!$C$4</f>
        <v>85</v>
      </c>
      <c r="H20">
        <v>0</v>
      </c>
    </row>
    <row r="21" spans="1:8" x14ac:dyDescent="0.25">
      <c r="A21" s="230">
        <f>Weather_Site!B31+Weather_Site!C31</f>
        <v>44549.958333333336</v>
      </c>
      <c r="B21">
        <f>Weather_Site!D31</f>
        <v>19.7</v>
      </c>
      <c r="C21">
        <f>Weather_Site!E31</f>
        <v>31.5</v>
      </c>
      <c r="D21">
        <f>Weather_Site!F31</f>
        <v>205</v>
      </c>
      <c r="E21">
        <f>Weather_Site!G31</f>
        <v>29</v>
      </c>
      <c r="F21">
        <f>'Forest(McArthur)'!M28</f>
        <v>7.882539682539683</v>
      </c>
      <c r="G21">
        <f>Grass!$C$4</f>
        <v>85</v>
      </c>
      <c r="H21">
        <v>0</v>
      </c>
    </row>
    <row r="22" spans="1:8" x14ac:dyDescent="0.25">
      <c r="A22" s="230">
        <f>Weather_Site!B32+Weather_Site!C32</f>
        <v>44550</v>
      </c>
      <c r="B22">
        <f>Weather_Site!D32</f>
        <v>18.899999999999999</v>
      </c>
      <c r="C22">
        <f>Weather_Site!E32</f>
        <v>32.4</v>
      </c>
      <c r="D22">
        <f>Weather_Site!F32</f>
        <v>203</v>
      </c>
      <c r="E22">
        <f>Weather_Site!G32</f>
        <v>24</v>
      </c>
      <c r="F22">
        <f>'Forest(McArthur)'!M29</f>
        <v>7.882539682539683</v>
      </c>
      <c r="G22">
        <f>Grass!$C$4</f>
        <v>85</v>
      </c>
      <c r="H22">
        <v>0</v>
      </c>
    </row>
    <row r="23" spans="1:8" x14ac:dyDescent="0.25">
      <c r="A23" s="230">
        <f>Weather_Site!B33+Weather_Site!C33</f>
        <v>44550.041666666664</v>
      </c>
      <c r="B23">
        <f>Weather_Site!D33</f>
        <v>17.7</v>
      </c>
      <c r="C23">
        <f>Weather_Site!E33</f>
        <v>34.9</v>
      </c>
      <c r="D23">
        <f>Weather_Site!F33</f>
        <v>200</v>
      </c>
      <c r="E23">
        <f>Weather_Site!G33</f>
        <v>24</v>
      </c>
      <c r="F23">
        <f>'Forest(McArthur)'!M30</f>
        <v>7.882539682539683</v>
      </c>
      <c r="G23">
        <f>Grass!$C$4</f>
        <v>85</v>
      </c>
      <c r="H23">
        <v>0</v>
      </c>
    </row>
    <row r="24" spans="1:8" x14ac:dyDescent="0.25">
      <c r="A24" s="230">
        <f>Weather_Site!B34+Weather_Site!C34</f>
        <v>44550.083333333336</v>
      </c>
      <c r="B24">
        <f>Weather_Site!D34</f>
        <v>16.399999999999999</v>
      </c>
      <c r="C24">
        <f>Weather_Site!E34</f>
        <v>37.6</v>
      </c>
      <c r="D24">
        <f>Weather_Site!F34</f>
        <v>197</v>
      </c>
      <c r="E24">
        <f>Weather_Site!G34</f>
        <v>21</v>
      </c>
      <c r="F24">
        <f>'Forest(McArthur)'!M31</f>
        <v>7.882539682539683</v>
      </c>
      <c r="G24">
        <f>Grass!$C$4</f>
        <v>85</v>
      </c>
      <c r="H24">
        <v>0</v>
      </c>
    </row>
    <row r="25" spans="1:8" x14ac:dyDescent="0.25">
      <c r="A25" s="230">
        <f>Weather_Site!B35+Weather_Site!C35</f>
        <v>44550.125</v>
      </c>
      <c r="B25">
        <f>Weather_Site!D35</f>
        <v>15.4</v>
      </c>
      <c r="C25">
        <f>Weather_Site!E35</f>
        <v>41.3</v>
      </c>
      <c r="D25">
        <f>Weather_Site!F35</f>
        <v>193</v>
      </c>
      <c r="E25">
        <f>Weather_Site!G35</f>
        <v>18</v>
      </c>
      <c r="F25">
        <f>'Forest(McArthur)'!M32</f>
        <v>7.882539682539683</v>
      </c>
      <c r="G25">
        <f>Grass!$C$4</f>
        <v>85</v>
      </c>
      <c r="H25">
        <v>0</v>
      </c>
    </row>
    <row r="26" spans="1:8" x14ac:dyDescent="0.25">
      <c r="A26" s="230">
        <f>Weather_Site!B36+Weather_Site!C36</f>
        <v>44550.166666666664</v>
      </c>
      <c r="B26">
        <f>Weather_Site!D36</f>
        <v>14.5</v>
      </c>
      <c r="C26">
        <f>Weather_Site!E36</f>
        <v>44.7</v>
      </c>
      <c r="D26">
        <f>Weather_Site!F36</f>
        <v>190</v>
      </c>
      <c r="E26">
        <f>Weather_Site!G36</f>
        <v>15</v>
      </c>
      <c r="F26">
        <f>'Forest(McArthur)'!M33</f>
        <v>7.882539682539683</v>
      </c>
      <c r="G26">
        <f>Grass!$C$4</f>
        <v>85</v>
      </c>
      <c r="H26">
        <v>0</v>
      </c>
    </row>
    <row r="27" spans="1:8" x14ac:dyDescent="0.25">
      <c r="A27" s="230">
        <f>Weather_Site!B37+Weather_Site!C37</f>
        <v>44550.208333333336</v>
      </c>
      <c r="B27">
        <f>Weather_Site!D37</f>
        <v>13.5</v>
      </c>
      <c r="C27">
        <f>Weather_Site!E37</f>
        <v>48.3</v>
      </c>
      <c r="D27">
        <f>Weather_Site!F37</f>
        <v>189</v>
      </c>
      <c r="E27">
        <f>Weather_Site!G37</f>
        <v>15</v>
      </c>
      <c r="F27">
        <f>'Forest(McArthur)'!M34</f>
        <v>7.882539682539683</v>
      </c>
      <c r="G27">
        <f>Grass!$C$4</f>
        <v>85</v>
      </c>
      <c r="H27">
        <v>0</v>
      </c>
    </row>
    <row r="28" spans="1:8" x14ac:dyDescent="0.25">
      <c r="A28" s="230">
        <f>Weather_Site!B38+Weather_Site!C38</f>
        <v>44550.25</v>
      </c>
      <c r="B28">
        <f>Weather_Site!D38</f>
        <v>12.5</v>
      </c>
      <c r="C28">
        <f>Weather_Site!E38</f>
        <v>53.1</v>
      </c>
      <c r="D28">
        <f>Weather_Site!F38</f>
        <v>185</v>
      </c>
      <c r="E28">
        <f>Weather_Site!G38</f>
        <v>14</v>
      </c>
      <c r="F28">
        <f>'Forest(McArthur)'!M35</f>
        <v>7.882539682539683</v>
      </c>
      <c r="G28">
        <f>Grass!$C$4</f>
        <v>85</v>
      </c>
      <c r="H28">
        <v>0</v>
      </c>
    </row>
    <row r="29" spans="1:8" x14ac:dyDescent="0.25">
      <c r="A29" s="230">
        <f>Weather_Site!B39+Weather_Site!C39</f>
        <v>44550.291666666664</v>
      </c>
      <c r="B29">
        <f>Weather_Site!D39</f>
        <v>13.4</v>
      </c>
      <c r="C29">
        <f>Weather_Site!E39</f>
        <v>50.4</v>
      </c>
      <c r="D29">
        <f>Weather_Site!F39</f>
        <v>181</v>
      </c>
      <c r="E29">
        <f>Weather_Site!G39</f>
        <v>16</v>
      </c>
      <c r="F29">
        <f>'Forest(McArthur)'!M36</f>
        <v>7.882539682539683</v>
      </c>
      <c r="G29">
        <f>Grass!$C$4</f>
        <v>85</v>
      </c>
      <c r="H29">
        <v>0</v>
      </c>
    </row>
    <row r="30" spans="1:8" x14ac:dyDescent="0.25">
      <c r="A30" s="230">
        <f>Weather_Site!B40+Weather_Site!C40</f>
        <v>44550.333333333336</v>
      </c>
      <c r="B30">
        <f>Weather_Site!D40</f>
        <v>15.8</v>
      </c>
      <c r="C30">
        <f>Weather_Site!E40</f>
        <v>44.1</v>
      </c>
      <c r="D30">
        <f>Weather_Site!F40</f>
        <v>178</v>
      </c>
      <c r="E30">
        <f>Weather_Site!G40</f>
        <v>21</v>
      </c>
      <c r="F30">
        <f>'Forest(McArthur)'!M37</f>
        <v>7.882539682539683</v>
      </c>
      <c r="G30">
        <f>Grass!$C$4</f>
        <v>85</v>
      </c>
      <c r="H30">
        <v>0</v>
      </c>
    </row>
    <row r="31" spans="1:8" x14ac:dyDescent="0.25">
      <c r="A31" s="230">
        <f>Weather_Site!B41+Weather_Site!C41</f>
        <v>44550.375</v>
      </c>
      <c r="B31">
        <f>Weather_Site!D41</f>
        <v>17.100000000000001</v>
      </c>
      <c r="C31">
        <f>Weather_Site!E41</f>
        <v>39.799999999999997</v>
      </c>
      <c r="D31">
        <f>Weather_Site!F41</f>
        <v>177</v>
      </c>
      <c r="E31">
        <f>Weather_Site!G41</f>
        <v>14</v>
      </c>
      <c r="F31">
        <f>'Forest(McArthur)'!M38</f>
        <v>7.882539682539683</v>
      </c>
      <c r="G31">
        <f>Grass!$C$4</f>
        <v>85</v>
      </c>
      <c r="H31">
        <v>0</v>
      </c>
    </row>
    <row r="32" spans="1:8" x14ac:dyDescent="0.25">
      <c r="A32" s="230">
        <f>Weather_Site!B42+Weather_Site!C42</f>
        <v>44550.416666666664</v>
      </c>
      <c r="B32">
        <f>Weather_Site!D42</f>
        <v>19</v>
      </c>
      <c r="C32">
        <f>Weather_Site!E42</f>
        <v>33.6</v>
      </c>
      <c r="D32">
        <f>Weather_Site!F42</f>
        <v>176</v>
      </c>
      <c r="E32">
        <f>Weather_Site!G42</f>
        <v>18</v>
      </c>
      <c r="F32">
        <f>'Forest(McArthur)'!M39</f>
        <v>7.882539682539683</v>
      </c>
      <c r="G32">
        <f>Grass!$C$4</f>
        <v>85</v>
      </c>
      <c r="H32">
        <v>0</v>
      </c>
    </row>
    <row r="33" spans="1:8" x14ac:dyDescent="0.25">
      <c r="A33" s="230">
        <f>Weather_Site!B43+Weather_Site!C43</f>
        <v>44550.458333333336</v>
      </c>
      <c r="B33">
        <f>Weather_Site!D43</f>
        <v>20.5</v>
      </c>
      <c r="C33">
        <f>Weather_Site!E43</f>
        <v>29.9</v>
      </c>
      <c r="D33">
        <f>Weather_Site!F43</f>
        <v>166</v>
      </c>
      <c r="E33">
        <f>Weather_Site!G43</f>
        <v>16</v>
      </c>
      <c r="F33">
        <f>'Forest(McArthur)'!M40</f>
        <v>7.882539682539683</v>
      </c>
      <c r="G33">
        <f>Grass!$C$4</f>
        <v>85</v>
      </c>
      <c r="H33">
        <v>0</v>
      </c>
    </row>
    <row r="34" spans="1:8" x14ac:dyDescent="0.25">
      <c r="A34" s="230">
        <f>Weather_Site!B44+Weather_Site!C44</f>
        <v>44550.5</v>
      </c>
      <c r="B34">
        <f>Weather_Site!D44</f>
        <v>22.3</v>
      </c>
      <c r="C34">
        <f>Weather_Site!E44</f>
        <v>25.7</v>
      </c>
      <c r="D34">
        <f>Weather_Site!F44</f>
        <v>169</v>
      </c>
      <c r="E34">
        <f>Weather_Site!G44</f>
        <v>15</v>
      </c>
      <c r="F34">
        <f>'Forest(McArthur)'!M41</f>
        <v>7.882539682539683</v>
      </c>
      <c r="G34">
        <f>Grass!$C$4</f>
        <v>85</v>
      </c>
      <c r="H34">
        <v>0</v>
      </c>
    </row>
    <row r="35" spans="1:8" x14ac:dyDescent="0.25">
      <c r="A35" s="230">
        <f>Weather_Site!B45+Weather_Site!C45</f>
        <v>44550.541666666664</v>
      </c>
      <c r="B35">
        <f>Weather_Site!D45</f>
        <v>24</v>
      </c>
      <c r="C35">
        <f>Weather_Site!E45</f>
        <v>22.2</v>
      </c>
      <c r="D35">
        <f>Weather_Site!F45</f>
        <v>185</v>
      </c>
      <c r="E35">
        <f>Weather_Site!G45</f>
        <v>14</v>
      </c>
      <c r="F35">
        <f>'Forest(McArthur)'!M42</f>
        <v>7.882539682539683</v>
      </c>
      <c r="G35">
        <f>Grass!$C$4</f>
        <v>85</v>
      </c>
      <c r="H35">
        <v>0</v>
      </c>
    </row>
    <row r="36" spans="1:8" x14ac:dyDescent="0.25">
      <c r="A36" s="230">
        <f>Weather_Site!B46+Weather_Site!C46</f>
        <v>44550.583333333336</v>
      </c>
      <c r="B36">
        <f>Weather_Site!D46</f>
        <v>26</v>
      </c>
      <c r="C36">
        <f>Weather_Site!E46</f>
        <v>18.8</v>
      </c>
      <c r="D36">
        <f>Weather_Site!F46</f>
        <v>199</v>
      </c>
      <c r="E36">
        <f>Weather_Site!G46</f>
        <v>13</v>
      </c>
      <c r="F36">
        <f>'Forest(McArthur)'!M43</f>
        <v>7.882539682539683</v>
      </c>
      <c r="G36">
        <f>Grass!$C$4</f>
        <v>85</v>
      </c>
      <c r="H36">
        <v>0</v>
      </c>
    </row>
    <row r="37" spans="1:8" x14ac:dyDescent="0.25">
      <c r="A37" s="230">
        <f>Weather_Site!B47+Weather_Site!C47</f>
        <v>44550.625</v>
      </c>
      <c r="B37">
        <f>Weather_Site!D47</f>
        <v>27.5</v>
      </c>
      <c r="C37">
        <f>Weather_Site!E47</f>
        <v>16.600000000000001</v>
      </c>
      <c r="D37">
        <f>Weather_Site!F47</f>
        <v>204</v>
      </c>
      <c r="E37">
        <f>Weather_Site!G47</f>
        <v>11</v>
      </c>
      <c r="F37">
        <f>'Forest(McArthur)'!M44</f>
        <v>7.882539682539683</v>
      </c>
      <c r="G37">
        <f>Grass!$C$4</f>
        <v>85</v>
      </c>
      <c r="H37">
        <v>0</v>
      </c>
    </row>
    <row r="38" spans="1:8" x14ac:dyDescent="0.25">
      <c r="A38" s="230">
        <f>Weather_Site!B48+Weather_Site!C48</f>
        <v>44550.666666666664</v>
      </c>
      <c r="B38">
        <f>Weather_Site!D48</f>
        <v>28.5</v>
      </c>
      <c r="C38">
        <f>Weather_Site!E48</f>
        <v>16</v>
      </c>
      <c r="D38">
        <f>Weather_Site!F48</f>
        <v>209</v>
      </c>
      <c r="E38">
        <f>Weather_Site!G48</f>
        <v>12</v>
      </c>
      <c r="F38">
        <f>'Forest(McArthur)'!M45</f>
        <v>7.882539682539683</v>
      </c>
      <c r="G38">
        <f>Grass!$C$4</f>
        <v>85</v>
      </c>
      <c r="H38">
        <v>0</v>
      </c>
    </row>
    <row r="39" spans="1:8" x14ac:dyDescent="0.25">
      <c r="A39" s="230">
        <f>Weather_Site!B49+Weather_Site!C49</f>
        <v>44550.708333333336</v>
      </c>
      <c r="B39">
        <f>Weather_Site!D49</f>
        <v>29.2</v>
      </c>
      <c r="C39">
        <f>Weather_Site!E49</f>
        <v>15.3</v>
      </c>
      <c r="D39">
        <f>Weather_Site!F49</f>
        <v>212</v>
      </c>
      <c r="E39">
        <f>Weather_Site!G49</f>
        <v>11</v>
      </c>
      <c r="F39">
        <f>'Forest(McArthur)'!M46</f>
        <v>7.882539682539683</v>
      </c>
      <c r="G39">
        <f>Grass!$C$4</f>
        <v>85</v>
      </c>
      <c r="H39">
        <v>0</v>
      </c>
    </row>
    <row r="40" spans="1:8" x14ac:dyDescent="0.25">
      <c r="A40" s="230">
        <f>Weather_Site!B50+Weather_Site!C50</f>
        <v>44550.75</v>
      </c>
      <c r="B40">
        <f>Weather_Site!D50</f>
        <v>29.1</v>
      </c>
      <c r="C40">
        <f>Weather_Site!E50</f>
        <v>15.9</v>
      </c>
      <c r="D40">
        <f>Weather_Site!F50</f>
        <v>211</v>
      </c>
      <c r="E40">
        <f>Weather_Site!G50</f>
        <v>11</v>
      </c>
      <c r="F40">
        <f>'Forest(McArthur)'!M47</f>
        <v>7.882539682539683</v>
      </c>
      <c r="G40">
        <f>Grass!$C$4</f>
        <v>85</v>
      </c>
      <c r="H40">
        <v>0</v>
      </c>
    </row>
    <row r="41" spans="1:8" x14ac:dyDescent="0.25">
      <c r="A41" s="230">
        <f>Weather_Site!B51+Weather_Site!C51</f>
        <v>44550.791666666664</v>
      </c>
      <c r="B41">
        <f>Weather_Site!D51</f>
        <v>29.1</v>
      </c>
      <c r="C41">
        <f>Weather_Site!E51</f>
        <v>16.2</v>
      </c>
      <c r="D41">
        <f>Weather_Site!F51</f>
        <v>208</v>
      </c>
      <c r="E41">
        <f>Weather_Site!G51</f>
        <v>10</v>
      </c>
      <c r="F41">
        <f>'Forest(McArthur)'!M48</f>
        <v>7.882539682539683</v>
      </c>
      <c r="G41">
        <f>Grass!$C$4</f>
        <v>85</v>
      </c>
      <c r="H41">
        <v>0</v>
      </c>
    </row>
    <row r="42" spans="1:8" x14ac:dyDescent="0.25">
      <c r="A42" s="230">
        <f>Weather_Site!B52+Weather_Site!C52</f>
        <v>44550.833333333336</v>
      </c>
      <c r="B42">
        <f>Weather_Site!D52</f>
        <v>28.3</v>
      </c>
      <c r="C42">
        <f>Weather_Site!E52</f>
        <v>17.7</v>
      </c>
      <c r="D42">
        <f>Weather_Site!F52</f>
        <v>202</v>
      </c>
      <c r="E42">
        <f>Weather_Site!G52</f>
        <v>8</v>
      </c>
      <c r="F42">
        <f>'Forest(McArthur)'!M49</f>
        <v>7.882539682539683</v>
      </c>
      <c r="G42">
        <f>Grass!$C$4</f>
        <v>85</v>
      </c>
      <c r="H42">
        <v>0</v>
      </c>
    </row>
    <row r="43" spans="1:8" x14ac:dyDescent="0.25">
      <c r="A43" s="230">
        <f>Weather_Site!B53+Weather_Site!C53</f>
        <v>44550.875</v>
      </c>
      <c r="B43">
        <f>Weather_Site!D53</f>
        <v>25.4</v>
      </c>
      <c r="C43">
        <f>Weather_Site!E53</f>
        <v>26.2</v>
      </c>
      <c r="D43">
        <f>Weather_Site!F53</f>
        <v>207</v>
      </c>
      <c r="E43">
        <f>Weather_Site!G53</f>
        <v>6</v>
      </c>
      <c r="F43">
        <f>'Forest(McArthur)'!M50</f>
        <v>7.882539682539683</v>
      </c>
      <c r="G43">
        <f>Grass!$C$4</f>
        <v>85</v>
      </c>
      <c r="H43">
        <v>0</v>
      </c>
    </row>
    <row r="44" spans="1:8" x14ac:dyDescent="0.25">
      <c r="A44" s="230">
        <f>Weather_Site!B54+Weather_Site!C54</f>
        <v>44550.916666666664</v>
      </c>
      <c r="B44">
        <f>Weather_Site!D54</f>
        <v>22.8</v>
      </c>
      <c r="C44">
        <f>Weather_Site!E54</f>
        <v>30.8</v>
      </c>
      <c r="D44">
        <f>Weather_Site!F54</f>
        <v>197</v>
      </c>
      <c r="E44">
        <f>Weather_Site!G54</f>
        <v>6</v>
      </c>
      <c r="F44">
        <f>'Forest(McArthur)'!M51</f>
        <v>7.882539682539683</v>
      </c>
      <c r="G44">
        <f>Grass!$C$4</f>
        <v>85</v>
      </c>
      <c r="H44">
        <v>0</v>
      </c>
    </row>
    <row r="45" spans="1:8" x14ac:dyDescent="0.25">
      <c r="A45" s="230">
        <f>Weather_Site!B55+Weather_Site!C55</f>
        <v>44550.958333333336</v>
      </c>
      <c r="B45">
        <f>Weather_Site!D55</f>
        <v>20.9</v>
      </c>
      <c r="C45">
        <f>Weather_Site!E55</f>
        <v>34.9</v>
      </c>
      <c r="D45">
        <f>Weather_Site!F55</f>
        <v>188</v>
      </c>
      <c r="E45">
        <f>Weather_Site!G55</f>
        <v>5</v>
      </c>
      <c r="F45">
        <f>'Forest(McArthur)'!M52</f>
        <v>7.882539682539683</v>
      </c>
      <c r="G45">
        <f>Grass!$C$4</f>
        <v>85</v>
      </c>
      <c r="H45">
        <v>0</v>
      </c>
    </row>
    <row r="46" spans="1:8" x14ac:dyDescent="0.25">
      <c r="A46" s="230">
        <f>Weather_Site!B56+Weather_Site!C56</f>
        <v>44551</v>
      </c>
      <c r="B46">
        <f>Weather_Site!D56</f>
        <v>19.899999999999999</v>
      </c>
      <c r="C46">
        <f>Weather_Site!E56</f>
        <v>38.4</v>
      </c>
      <c r="D46">
        <f>Weather_Site!F56</f>
        <v>190</v>
      </c>
      <c r="E46">
        <f>Weather_Site!G56</f>
        <v>5</v>
      </c>
      <c r="F46">
        <f>'Forest(McArthur)'!M53</f>
        <v>7.882539682539683</v>
      </c>
      <c r="G46">
        <f>Grass!$C$4</f>
        <v>85</v>
      </c>
      <c r="H46">
        <v>0</v>
      </c>
    </row>
    <row r="47" spans="1:8" x14ac:dyDescent="0.25">
      <c r="A47" s="230">
        <f>Weather_Site!B57+Weather_Site!C57</f>
        <v>44551.041666666664</v>
      </c>
      <c r="B47">
        <f>Weather_Site!D57</f>
        <v>18.5</v>
      </c>
      <c r="C47">
        <f>Weather_Site!E57</f>
        <v>42.5</v>
      </c>
      <c r="D47">
        <f>Weather_Site!F57</f>
        <v>267</v>
      </c>
      <c r="E47">
        <f>Weather_Site!G57</f>
        <v>6</v>
      </c>
      <c r="F47">
        <f>'Forest(McArthur)'!M54</f>
        <v>7.882539682539683</v>
      </c>
      <c r="G47">
        <f>Grass!$C$4</f>
        <v>85</v>
      </c>
      <c r="H47">
        <v>0</v>
      </c>
    </row>
    <row r="48" spans="1:8" x14ac:dyDescent="0.25">
      <c r="A48" s="230">
        <f>Weather_Site!B58+Weather_Site!C58</f>
        <v>44551.083333333336</v>
      </c>
      <c r="B48">
        <f>Weather_Site!D58</f>
        <v>17.2</v>
      </c>
      <c r="C48">
        <f>Weather_Site!E58</f>
        <v>47.4</v>
      </c>
      <c r="D48">
        <f>Weather_Site!F58</f>
        <v>245</v>
      </c>
      <c r="E48">
        <f>Weather_Site!G58</f>
        <v>6</v>
      </c>
      <c r="F48">
        <f>'Forest(McArthur)'!M55</f>
        <v>7.882539682539683</v>
      </c>
      <c r="G48">
        <f>Grass!$C$4</f>
        <v>85</v>
      </c>
      <c r="H48">
        <v>0</v>
      </c>
    </row>
    <row r="49" spans="1:8" x14ac:dyDescent="0.25">
      <c r="A49" s="230">
        <f>Weather_Site!B59+Weather_Site!C59</f>
        <v>44551.125</v>
      </c>
      <c r="B49">
        <f>Weather_Site!D59</f>
        <v>16.3</v>
      </c>
      <c r="C49">
        <f>Weather_Site!E59</f>
        <v>50.2</v>
      </c>
      <c r="D49">
        <f>Weather_Site!F59</f>
        <v>226</v>
      </c>
      <c r="E49">
        <f>Weather_Site!G59</f>
        <v>6</v>
      </c>
      <c r="F49">
        <f>'Forest(McArthur)'!M56</f>
        <v>7.882539682539683</v>
      </c>
      <c r="G49">
        <f>Grass!$C$4</f>
        <v>85</v>
      </c>
      <c r="H49">
        <v>0</v>
      </c>
    </row>
    <row r="50" spans="1:8" x14ac:dyDescent="0.25">
      <c r="A50" s="230">
        <f>Weather_Site!B60+Weather_Site!C60</f>
        <v>44551.166666666664</v>
      </c>
      <c r="B50">
        <f>Weather_Site!D60</f>
        <v>15.5</v>
      </c>
      <c r="C50">
        <f>Weather_Site!E60</f>
        <v>54.3</v>
      </c>
      <c r="D50">
        <f>Weather_Site!F60</f>
        <v>216</v>
      </c>
      <c r="E50">
        <f>Weather_Site!G60</f>
        <v>6</v>
      </c>
      <c r="F50">
        <f>'Forest(McArthur)'!M57</f>
        <v>7.882539682539683</v>
      </c>
      <c r="G50">
        <f>Grass!$C$4</f>
        <v>85</v>
      </c>
      <c r="H50">
        <v>0</v>
      </c>
    </row>
    <row r="51" spans="1:8" x14ac:dyDescent="0.25">
      <c r="A51" s="230">
        <f>Weather_Site!B61+Weather_Site!C61</f>
        <v>44551.208333333336</v>
      </c>
      <c r="B51">
        <f>Weather_Site!D61</f>
        <v>14.5</v>
      </c>
      <c r="C51">
        <f>Weather_Site!E61</f>
        <v>62.4</v>
      </c>
      <c r="D51">
        <f>Weather_Site!F61</f>
        <v>188</v>
      </c>
      <c r="E51">
        <f>Weather_Site!G61</f>
        <v>9</v>
      </c>
      <c r="F51">
        <f>'Forest(McArthur)'!M58</f>
        <v>7.882539682539683</v>
      </c>
      <c r="G51">
        <f>Grass!$C$4</f>
        <v>85</v>
      </c>
      <c r="H51">
        <v>0</v>
      </c>
    </row>
    <row r="52" spans="1:8" x14ac:dyDescent="0.25">
      <c r="A52" s="230">
        <f>Weather_Site!B62+Weather_Site!C62</f>
        <v>44551.25</v>
      </c>
      <c r="B52">
        <f>Weather_Site!D62</f>
        <v>13.9</v>
      </c>
      <c r="C52">
        <f>Weather_Site!E62</f>
        <v>65.3</v>
      </c>
      <c r="D52">
        <f>Weather_Site!F62</f>
        <v>189</v>
      </c>
      <c r="E52">
        <f>Weather_Site!G62</f>
        <v>10</v>
      </c>
      <c r="F52">
        <f>'Forest(McArthur)'!M59</f>
        <v>7.882539682539683</v>
      </c>
      <c r="G52">
        <f>Grass!$C$4</f>
        <v>85</v>
      </c>
      <c r="H52">
        <v>0</v>
      </c>
    </row>
    <row r="53" spans="1:8" x14ac:dyDescent="0.25">
      <c r="A53" s="230">
        <f>Weather_Site!B63+Weather_Site!C63</f>
        <v>44551.291666666664</v>
      </c>
      <c r="B53">
        <f>Weather_Site!D63</f>
        <v>15.8</v>
      </c>
      <c r="C53">
        <f>Weather_Site!E63</f>
        <v>58.6</v>
      </c>
      <c r="D53">
        <f>Weather_Site!F63</f>
        <v>178</v>
      </c>
      <c r="E53">
        <f>Weather_Site!G63</f>
        <v>12</v>
      </c>
      <c r="F53">
        <f>'Forest(McArthur)'!M60</f>
        <v>7.882539682539683</v>
      </c>
      <c r="G53">
        <f>Grass!$C$4</f>
        <v>85</v>
      </c>
      <c r="H53">
        <v>0</v>
      </c>
    </row>
    <row r="54" spans="1:8" x14ac:dyDescent="0.25">
      <c r="A54" s="230">
        <f>Weather_Site!B64+Weather_Site!C64</f>
        <v>44551.333333333336</v>
      </c>
      <c r="B54">
        <f>Weather_Site!D64</f>
        <v>19.100000000000001</v>
      </c>
      <c r="C54">
        <f>Weather_Site!E64</f>
        <v>48.2</v>
      </c>
      <c r="D54">
        <f>Weather_Site!F64</f>
        <v>183</v>
      </c>
      <c r="E54">
        <f>Weather_Site!G64</f>
        <v>16</v>
      </c>
      <c r="F54">
        <f>'Forest(McArthur)'!M61</f>
        <v>7.882539682539683</v>
      </c>
      <c r="G54">
        <f>Grass!$C$4</f>
        <v>85</v>
      </c>
      <c r="H54">
        <v>0</v>
      </c>
    </row>
    <row r="55" spans="1:8" x14ac:dyDescent="0.25">
      <c r="A55" s="230">
        <f>Weather_Site!B65+Weather_Site!C65</f>
        <v>44551.375</v>
      </c>
      <c r="B55">
        <f>Weather_Site!D65</f>
        <v>21.8</v>
      </c>
      <c r="C55">
        <f>Weather_Site!E65</f>
        <v>42</v>
      </c>
      <c r="D55">
        <f>Weather_Site!F65</f>
        <v>179</v>
      </c>
      <c r="E55">
        <f>Weather_Site!G65</f>
        <v>10</v>
      </c>
      <c r="F55">
        <f>'Forest(McArthur)'!M62</f>
        <v>7.882539682539683</v>
      </c>
      <c r="G55">
        <f>Grass!$C$4</f>
        <v>85</v>
      </c>
      <c r="H55">
        <v>0</v>
      </c>
    </row>
    <row r="56" spans="1:8" x14ac:dyDescent="0.25">
      <c r="A56" s="230">
        <f>Weather_Site!B66+Weather_Site!C66</f>
        <v>44551.416666666664</v>
      </c>
      <c r="B56">
        <f>Weather_Site!D66</f>
        <v>24.5</v>
      </c>
      <c r="C56">
        <f>Weather_Site!E66</f>
        <v>33.1</v>
      </c>
      <c r="D56">
        <f>Weather_Site!F66</f>
        <v>158</v>
      </c>
      <c r="E56">
        <f>Weather_Site!G66</f>
        <v>14</v>
      </c>
      <c r="F56">
        <f>'Forest(McArthur)'!M63</f>
        <v>7.882539682539683</v>
      </c>
      <c r="G56">
        <f>Grass!$C$4</f>
        <v>85</v>
      </c>
      <c r="H56">
        <v>0</v>
      </c>
    </row>
    <row r="57" spans="1:8" x14ac:dyDescent="0.25">
      <c r="A57" s="230">
        <f>Weather_Site!B67+Weather_Site!C67</f>
        <v>44551.458333333336</v>
      </c>
      <c r="B57">
        <f>Weather_Site!D67</f>
        <v>26.9</v>
      </c>
      <c r="C57">
        <f>Weather_Site!E67</f>
        <v>27.9</v>
      </c>
      <c r="D57">
        <f>Weather_Site!F67</f>
        <v>153</v>
      </c>
      <c r="E57">
        <f>Weather_Site!G67</f>
        <v>11</v>
      </c>
      <c r="F57">
        <f>'Forest(McArthur)'!M64</f>
        <v>7.882539682539683</v>
      </c>
      <c r="G57">
        <f>Grass!$C$4</f>
        <v>85</v>
      </c>
      <c r="H57">
        <v>0</v>
      </c>
    </row>
    <row r="58" spans="1:8" x14ac:dyDescent="0.25">
      <c r="A58" s="230">
        <f>Weather_Site!B68+Weather_Site!C68</f>
        <v>44551.5</v>
      </c>
      <c r="B58">
        <f>Weather_Site!D68</f>
        <v>28</v>
      </c>
      <c r="C58">
        <f>Weather_Site!E68</f>
        <v>25</v>
      </c>
      <c r="D58">
        <f>Weather_Site!F68</f>
        <v>162</v>
      </c>
      <c r="E58">
        <f>Weather_Site!G68</f>
        <v>11</v>
      </c>
      <c r="F58">
        <f>'Forest(McArthur)'!M65</f>
        <v>7.882539682539683</v>
      </c>
      <c r="G58">
        <f>Grass!$C$4</f>
        <v>85</v>
      </c>
      <c r="H58">
        <v>0</v>
      </c>
    </row>
    <row r="59" spans="1:8" x14ac:dyDescent="0.25">
      <c r="A59" s="230">
        <f>Weather_Site!B69+Weather_Site!C69</f>
        <v>44551.541666666664</v>
      </c>
      <c r="B59">
        <f>Weather_Site!D69</f>
        <v>29.5</v>
      </c>
      <c r="C59">
        <f>Weather_Site!E69</f>
        <v>22</v>
      </c>
      <c r="D59">
        <f>Weather_Site!F69</f>
        <v>198</v>
      </c>
      <c r="E59">
        <f>Weather_Site!G69</f>
        <v>11</v>
      </c>
      <c r="F59">
        <f>'Forest(McArthur)'!M66</f>
        <v>7.882539682539683</v>
      </c>
      <c r="G59">
        <f>Grass!$C$4</f>
        <v>85</v>
      </c>
      <c r="H59">
        <v>0</v>
      </c>
    </row>
    <row r="60" spans="1:8" x14ac:dyDescent="0.25">
      <c r="A60" s="230">
        <f>Weather_Site!B70+Weather_Site!C70</f>
        <v>44551.583333333336</v>
      </c>
      <c r="B60">
        <f>Weather_Site!D70</f>
        <v>31.4</v>
      </c>
      <c r="C60">
        <f>Weather_Site!E70</f>
        <v>18.600000000000001</v>
      </c>
      <c r="D60">
        <f>Weather_Site!F70</f>
        <v>208</v>
      </c>
      <c r="E60">
        <f>Weather_Site!G70</f>
        <v>11</v>
      </c>
      <c r="F60">
        <f>'Forest(McArthur)'!M67</f>
        <v>7.882539682539683</v>
      </c>
      <c r="G60">
        <f>Grass!$C$4</f>
        <v>85</v>
      </c>
      <c r="H60">
        <v>0</v>
      </c>
    </row>
    <row r="61" spans="1:8" x14ac:dyDescent="0.25">
      <c r="A61" s="230">
        <f>Weather_Site!B71+Weather_Site!C71</f>
        <v>44551.625</v>
      </c>
      <c r="B61">
        <f>Weather_Site!D71</f>
        <v>32.4</v>
      </c>
      <c r="C61">
        <f>Weather_Site!E71</f>
        <v>16.5</v>
      </c>
      <c r="D61">
        <f>Weather_Site!F71</f>
        <v>212</v>
      </c>
      <c r="E61">
        <f>Weather_Site!G71</f>
        <v>9</v>
      </c>
      <c r="F61">
        <f>'Forest(McArthur)'!M68</f>
        <v>7.882539682539683</v>
      </c>
      <c r="G61">
        <f>Grass!$C$4</f>
        <v>85</v>
      </c>
      <c r="H61">
        <v>0</v>
      </c>
    </row>
    <row r="62" spans="1:8" x14ac:dyDescent="0.25">
      <c r="A62" s="230">
        <f>Weather_Site!B72+Weather_Site!C72</f>
        <v>44551.666666666664</v>
      </c>
      <c r="B62">
        <f>Weather_Site!D72</f>
        <v>33.299999999999997</v>
      </c>
      <c r="C62">
        <f>Weather_Site!E72</f>
        <v>15.6</v>
      </c>
      <c r="D62">
        <f>Weather_Site!F72</f>
        <v>216</v>
      </c>
      <c r="E62">
        <f>Weather_Site!G72</f>
        <v>11</v>
      </c>
      <c r="F62">
        <f>'Forest(McArthur)'!M69</f>
        <v>7.882539682539683</v>
      </c>
      <c r="G62">
        <f>Grass!$C$4</f>
        <v>85</v>
      </c>
      <c r="H62">
        <v>0</v>
      </c>
    </row>
    <row r="63" spans="1:8" x14ac:dyDescent="0.25">
      <c r="A63" s="230">
        <f>Weather_Site!B73+Weather_Site!C73</f>
        <v>44551.708333333336</v>
      </c>
      <c r="B63">
        <f>Weather_Site!D73</f>
        <v>34</v>
      </c>
      <c r="C63">
        <f>Weather_Site!E73</f>
        <v>14.5</v>
      </c>
      <c r="D63">
        <f>Weather_Site!F73</f>
        <v>218</v>
      </c>
      <c r="E63">
        <f>Weather_Site!G73</f>
        <v>10</v>
      </c>
      <c r="F63">
        <f>'Forest(McArthur)'!M70</f>
        <v>7.882539682539683</v>
      </c>
      <c r="G63">
        <f>Grass!$C$4</f>
        <v>85</v>
      </c>
      <c r="H63">
        <v>0</v>
      </c>
    </row>
    <row r="64" spans="1:8" x14ac:dyDescent="0.25">
      <c r="A64" s="230">
        <f>Weather_Site!B74+Weather_Site!C74</f>
        <v>44551.75</v>
      </c>
      <c r="B64">
        <f>Weather_Site!D74</f>
        <v>33.5</v>
      </c>
      <c r="C64">
        <f>Weather_Site!E74</f>
        <v>15.3</v>
      </c>
      <c r="D64">
        <f>Weather_Site!F74</f>
        <v>205</v>
      </c>
      <c r="E64">
        <f>Weather_Site!G74</f>
        <v>12</v>
      </c>
      <c r="F64">
        <f>'Forest(McArthur)'!M71</f>
        <v>7.882539682539683</v>
      </c>
      <c r="G64">
        <f>Grass!$C$4</f>
        <v>85</v>
      </c>
      <c r="H64">
        <v>0</v>
      </c>
    </row>
    <row r="65" spans="1:8" x14ac:dyDescent="0.25">
      <c r="A65" s="230">
        <f>Weather_Site!B75+Weather_Site!C75</f>
        <v>44551.791666666664</v>
      </c>
      <c r="B65">
        <f>Weather_Site!D75</f>
        <v>33.299999999999997</v>
      </c>
      <c r="C65">
        <f>Weather_Site!E75</f>
        <v>15.4</v>
      </c>
      <c r="D65">
        <f>Weather_Site!F75</f>
        <v>202</v>
      </c>
      <c r="E65">
        <f>Weather_Site!G75</f>
        <v>11</v>
      </c>
      <c r="F65">
        <f>'Forest(McArthur)'!M72</f>
        <v>7.882539682539683</v>
      </c>
      <c r="G65">
        <f>Grass!$C$4</f>
        <v>85</v>
      </c>
      <c r="H65">
        <v>0</v>
      </c>
    </row>
    <row r="66" spans="1:8" x14ac:dyDescent="0.25">
      <c r="A66" s="230">
        <f>Weather_Site!B76+Weather_Site!C76</f>
        <v>44551.833333333336</v>
      </c>
      <c r="B66">
        <f>Weather_Site!D76</f>
        <v>32.200000000000003</v>
      </c>
      <c r="C66">
        <f>Weather_Site!E76</f>
        <v>17.600000000000001</v>
      </c>
      <c r="D66">
        <f>Weather_Site!F76</f>
        <v>206</v>
      </c>
      <c r="E66">
        <f>Weather_Site!G76</f>
        <v>11</v>
      </c>
      <c r="F66">
        <f>'Forest(McArthur)'!M73</f>
        <v>7.882539682539683</v>
      </c>
      <c r="G66">
        <f>Grass!$C$4</f>
        <v>85</v>
      </c>
      <c r="H66">
        <v>0</v>
      </c>
    </row>
    <row r="67" spans="1:8" x14ac:dyDescent="0.25">
      <c r="A67" s="230">
        <f>Weather_Site!B77+Weather_Site!C77</f>
        <v>44551.875</v>
      </c>
      <c r="B67">
        <f>Weather_Site!D77</f>
        <v>29.1</v>
      </c>
      <c r="C67">
        <f>Weather_Site!E77</f>
        <v>23.4</v>
      </c>
      <c r="D67">
        <f>Weather_Site!F77</f>
        <v>199</v>
      </c>
      <c r="E67">
        <f>Weather_Site!G77</f>
        <v>9</v>
      </c>
      <c r="F67">
        <f>'Forest(McArthur)'!M74</f>
        <v>7.882539682539683</v>
      </c>
      <c r="G67">
        <f>Grass!$C$4</f>
        <v>85</v>
      </c>
      <c r="H67">
        <v>0</v>
      </c>
    </row>
    <row r="68" spans="1:8" x14ac:dyDescent="0.25">
      <c r="A68" s="230">
        <f>Weather_Site!B78+Weather_Site!C78</f>
        <v>44551.916666666664</v>
      </c>
      <c r="B68">
        <f>Weather_Site!D78</f>
        <v>26.6</v>
      </c>
      <c r="C68">
        <f>Weather_Site!E78</f>
        <v>28</v>
      </c>
      <c r="D68">
        <f>Weather_Site!F78</f>
        <v>192</v>
      </c>
      <c r="E68">
        <f>Weather_Site!G78</f>
        <v>8</v>
      </c>
      <c r="F68">
        <f>'Forest(McArthur)'!M75</f>
        <v>7.882539682539683</v>
      </c>
      <c r="G68">
        <f>Grass!$C$4</f>
        <v>85</v>
      </c>
      <c r="H68">
        <v>0</v>
      </c>
    </row>
    <row r="69" spans="1:8" x14ac:dyDescent="0.25">
      <c r="A69" s="230">
        <f>Weather_Site!B79+Weather_Site!C79</f>
        <v>44551.958333333336</v>
      </c>
      <c r="B69">
        <f>Weather_Site!D79</f>
        <v>24.5</v>
      </c>
      <c r="C69">
        <f>Weather_Site!E79</f>
        <v>31.5</v>
      </c>
      <c r="D69">
        <f>Weather_Site!F79</f>
        <v>185</v>
      </c>
      <c r="E69">
        <f>Weather_Site!G79</f>
        <v>7</v>
      </c>
      <c r="F69">
        <f>'Forest(McArthur)'!M76</f>
        <v>7.882539682539683</v>
      </c>
      <c r="G69">
        <f>Grass!$C$4</f>
        <v>85</v>
      </c>
      <c r="H69">
        <v>0</v>
      </c>
    </row>
    <row r="70" spans="1:8" x14ac:dyDescent="0.25">
      <c r="A70" s="230">
        <f>Weather_Site!B80+Weather_Site!C80</f>
        <v>44552</v>
      </c>
      <c r="B70">
        <f>Weather_Site!D80</f>
        <v>23.6</v>
      </c>
      <c r="C70">
        <f>Weather_Site!E80</f>
        <v>34</v>
      </c>
      <c r="D70">
        <f>Weather_Site!F80</f>
        <v>182</v>
      </c>
      <c r="E70">
        <f>Weather_Site!G80</f>
        <v>7</v>
      </c>
      <c r="F70">
        <f>'Forest(McArthur)'!M77</f>
        <v>7.882539682539683</v>
      </c>
      <c r="G70">
        <f>Grass!$C$4</f>
        <v>85</v>
      </c>
      <c r="H70">
        <v>0</v>
      </c>
    </row>
    <row r="71" spans="1:8" x14ac:dyDescent="0.25">
      <c r="A71" s="230">
        <f>Weather_Site!B81+Weather_Site!C81</f>
        <v>44552.041666666664</v>
      </c>
      <c r="B71">
        <f>Weather_Site!D81</f>
        <v>22.5</v>
      </c>
      <c r="C71">
        <f>Weather_Site!E81</f>
        <v>35.6</v>
      </c>
      <c r="D71">
        <f>Weather_Site!F81</f>
        <v>196</v>
      </c>
      <c r="E71">
        <f>Weather_Site!G81</f>
        <v>9</v>
      </c>
      <c r="F71">
        <f>'Forest(McArthur)'!M78</f>
        <v>7.882539682539683</v>
      </c>
      <c r="G71">
        <f>Grass!$C$4</f>
        <v>85</v>
      </c>
      <c r="H71">
        <v>0</v>
      </c>
    </row>
    <row r="72" spans="1:8" x14ac:dyDescent="0.25">
      <c r="A72" s="230">
        <f>Weather_Site!B82+Weather_Site!C82</f>
        <v>44552.083333333336</v>
      </c>
      <c r="B72">
        <f>Weather_Site!D82</f>
        <v>21.6</v>
      </c>
      <c r="C72">
        <f>Weather_Site!E82</f>
        <v>37.299999999999997</v>
      </c>
      <c r="D72">
        <f>Weather_Site!F82</f>
        <v>179</v>
      </c>
      <c r="E72">
        <f>Weather_Site!G82</f>
        <v>11</v>
      </c>
      <c r="F72">
        <f>'Forest(McArthur)'!M79</f>
        <v>7.882539682539683</v>
      </c>
      <c r="G72">
        <f>Grass!$C$4</f>
        <v>85</v>
      </c>
      <c r="H72">
        <v>0</v>
      </c>
    </row>
    <row r="73" spans="1:8" x14ac:dyDescent="0.25">
      <c r="A73" s="230">
        <f>Weather_Site!B83+Weather_Site!C83</f>
        <v>44552.125</v>
      </c>
      <c r="B73">
        <f>Weather_Site!D83</f>
        <v>20.6</v>
      </c>
      <c r="C73">
        <f>Weather_Site!E83</f>
        <v>41.6</v>
      </c>
      <c r="D73">
        <f>Weather_Site!F83</f>
        <v>177</v>
      </c>
      <c r="E73">
        <f>Weather_Site!G83</f>
        <v>11</v>
      </c>
      <c r="F73">
        <f>'Forest(McArthur)'!M80</f>
        <v>7.882539682539683</v>
      </c>
      <c r="G73">
        <f>Grass!$C$4</f>
        <v>85</v>
      </c>
      <c r="H73">
        <v>0</v>
      </c>
    </row>
    <row r="74" spans="1:8" x14ac:dyDescent="0.25">
      <c r="A74" s="230">
        <f>Weather_Site!B84+Weather_Site!C84</f>
        <v>44552.166666666664</v>
      </c>
      <c r="B74">
        <f>Weather_Site!D84</f>
        <v>20</v>
      </c>
      <c r="C74">
        <f>Weather_Site!E84</f>
        <v>45</v>
      </c>
      <c r="D74">
        <f>Weather_Site!F84</f>
        <v>181</v>
      </c>
      <c r="E74">
        <f>Weather_Site!G84</f>
        <v>12</v>
      </c>
      <c r="F74">
        <f>'Forest(McArthur)'!M81</f>
        <v>7.882539682539683</v>
      </c>
      <c r="G74">
        <f>Grass!$C$4</f>
        <v>85</v>
      </c>
      <c r="H74">
        <v>0</v>
      </c>
    </row>
    <row r="75" spans="1:8" x14ac:dyDescent="0.25">
      <c r="A75" s="230">
        <f>Weather_Site!B85+Weather_Site!C85</f>
        <v>44552.208333333336</v>
      </c>
      <c r="B75">
        <f>Weather_Site!D85</f>
        <v>19.2</v>
      </c>
      <c r="C75">
        <f>Weather_Site!E85</f>
        <v>49.3</v>
      </c>
      <c r="D75">
        <f>Weather_Site!F85</f>
        <v>184</v>
      </c>
      <c r="E75">
        <f>Weather_Site!G85</f>
        <v>16</v>
      </c>
      <c r="F75">
        <f>'Forest(McArthur)'!M82</f>
        <v>7.882539682539683</v>
      </c>
      <c r="G75">
        <f>Grass!$C$4</f>
        <v>85</v>
      </c>
      <c r="H75">
        <v>0</v>
      </c>
    </row>
    <row r="76" spans="1:8" x14ac:dyDescent="0.25">
      <c r="A76" s="230">
        <f>Weather_Site!B86+Weather_Site!C86</f>
        <v>44552.25</v>
      </c>
      <c r="B76">
        <f>Weather_Site!D86</f>
        <v>18.3</v>
      </c>
      <c r="C76">
        <f>Weather_Site!E86</f>
        <v>51.8</v>
      </c>
      <c r="D76">
        <f>Weather_Site!F86</f>
        <v>182</v>
      </c>
      <c r="E76">
        <f>Weather_Site!G86</f>
        <v>17</v>
      </c>
      <c r="F76">
        <f>'Forest(McArthur)'!M83</f>
        <v>7.882539682539683</v>
      </c>
      <c r="G76">
        <f>Grass!$C$4</f>
        <v>85</v>
      </c>
      <c r="H76">
        <v>0</v>
      </c>
    </row>
    <row r="77" spans="1:8" x14ac:dyDescent="0.25">
      <c r="A77" s="230">
        <f>Weather_Site!B87+Weather_Site!C87</f>
        <v>44552.291666666664</v>
      </c>
      <c r="B77">
        <f>Weather_Site!D87</f>
        <v>19</v>
      </c>
      <c r="C77">
        <f>Weather_Site!E87</f>
        <v>48.9</v>
      </c>
      <c r="D77">
        <f>Weather_Site!F87</f>
        <v>176</v>
      </c>
      <c r="E77">
        <f>Weather_Site!G87</f>
        <v>18</v>
      </c>
      <c r="F77">
        <f>'Forest(McArthur)'!M84</f>
        <v>7.882539682539683</v>
      </c>
      <c r="G77">
        <f>Grass!$C$4</f>
        <v>85</v>
      </c>
      <c r="H77">
        <v>0</v>
      </c>
    </row>
    <row r="78" spans="1:8" x14ac:dyDescent="0.25">
      <c r="A78" s="230">
        <f>Weather_Site!B88+Weather_Site!C88</f>
        <v>44552.333333333336</v>
      </c>
      <c r="B78">
        <f>Weather_Site!D88</f>
        <v>21.4</v>
      </c>
      <c r="C78">
        <f>Weather_Site!E88</f>
        <v>43</v>
      </c>
      <c r="D78">
        <f>Weather_Site!F88</f>
        <v>179</v>
      </c>
      <c r="E78">
        <f>Weather_Site!G88</f>
        <v>22</v>
      </c>
      <c r="F78">
        <f>'Forest(McArthur)'!M85</f>
        <v>7.882539682539683</v>
      </c>
      <c r="G78">
        <f>Grass!$C$4</f>
        <v>85</v>
      </c>
      <c r="H78">
        <v>0</v>
      </c>
    </row>
    <row r="79" spans="1:8" x14ac:dyDescent="0.25">
      <c r="A79" s="230">
        <f>Weather_Site!B89+Weather_Site!C89</f>
        <v>44552.375</v>
      </c>
      <c r="B79">
        <f>Weather_Site!D89</f>
        <v>23.5</v>
      </c>
      <c r="C79">
        <f>Weather_Site!E89</f>
        <v>40</v>
      </c>
      <c r="D79">
        <f>Weather_Site!F89</f>
        <v>167</v>
      </c>
      <c r="E79">
        <f>Weather_Site!G89</f>
        <v>15</v>
      </c>
      <c r="F79">
        <f>'Forest(McArthur)'!M86</f>
        <v>7.882539682539683</v>
      </c>
      <c r="G79">
        <f>Grass!$C$4</f>
        <v>85</v>
      </c>
      <c r="H79">
        <v>0</v>
      </c>
    </row>
    <row r="80" spans="1:8" x14ac:dyDescent="0.25">
      <c r="A80" s="230">
        <f>Weather_Site!B90+Weather_Site!C90</f>
        <v>44552.416666666664</v>
      </c>
      <c r="B80">
        <f>Weather_Site!D90</f>
        <v>25.9</v>
      </c>
      <c r="C80">
        <f>Weather_Site!E90</f>
        <v>34.200000000000003</v>
      </c>
      <c r="D80">
        <f>Weather_Site!F90</f>
        <v>164</v>
      </c>
      <c r="E80">
        <f>Weather_Site!G90</f>
        <v>20</v>
      </c>
      <c r="F80">
        <f>'Forest(McArthur)'!M87</f>
        <v>7.882539682539683</v>
      </c>
      <c r="G80">
        <f>Grass!$C$4</f>
        <v>85</v>
      </c>
      <c r="H80">
        <v>0</v>
      </c>
    </row>
    <row r="81" spans="1:8" x14ac:dyDescent="0.25">
      <c r="A81" s="230">
        <f>Weather_Site!B91+Weather_Site!C91</f>
        <v>44552.458333333336</v>
      </c>
      <c r="B81">
        <f>Weather_Site!D91</f>
        <v>28.1</v>
      </c>
      <c r="C81">
        <f>Weather_Site!E91</f>
        <v>30</v>
      </c>
      <c r="D81">
        <f>Weather_Site!F91</f>
        <v>165</v>
      </c>
      <c r="E81">
        <f>Weather_Site!G91</f>
        <v>18</v>
      </c>
      <c r="F81">
        <f>'Forest(McArthur)'!M88</f>
        <v>7.882539682539683</v>
      </c>
      <c r="G81">
        <f>Grass!$C$4</f>
        <v>85</v>
      </c>
      <c r="H81">
        <v>0</v>
      </c>
    </row>
    <row r="82" spans="1:8" x14ac:dyDescent="0.25">
      <c r="A82" s="230">
        <f>Weather_Site!B92+Weather_Site!C92</f>
        <v>44552.5</v>
      </c>
      <c r="B82">
        <f>Weather_Site!D92</f>
        <v>29.8</v>
      </c>
      <c r="C82">
        <f>Weather_Site!E92</f>
        <v>26.2</v>
      </c>
      <c r="D82">
        <f>Weather_Site!F92</f>
        <v>170</v>
      </c>
      <c r="E82">
        <f>Weather_Site!G92</f>
        <v>17</v>
      </c>
      <c r="F82">
        <f>'Forest(McArthur)'!M89</f>
        <v>7.882539682539683</v>
      </c>
      <c r="G82">
        <f>Grass!$C$4</f>
        <v>85</v>
      </c>
      <c r="H82">
        <v>0</v>
      </c>
    </row>
    <row r="83" spans="1:8" x14ac:dyDescent="0.25">
      <c r="A83" s="230">
        <f>Weather_Site!B93+Weather_Site!C93</f>
        <v>44552.541666666664</v>
      </c>
      <c r="B83">
        <f>Weather_Site!D93</f>
        <v>31.4</v>
      </c>
      <c r="C83">
        <f>Weather_Site!E93</f>
        <v>22.5</v>
      </c>
      <c r="D83">
        <f>Weather_Site!F93</f>
        <v>194</v>
      </c>
      <c r="E83">
        <f>Weather_Site!G93</f>
        <v>18</v>
      </c>
      <c r="F83">
        <f>'Forest(McArthur)'!M90</f>
        <v>7.882539682539683</v>
      </c>
      <c r="G83">
        <f>Grass!$C$4</f>
        <v>85</v>
      </c>
      <c r="H83">
        <v>0</v>
      </c>
    </row>
    <row r="84" spans="1:8" x14ac:dyDescent="0.25">
      <c r="A84" s="230">
        <f>Weather_Site!B94+Weather_Site!C94</f>
        <v>44552.583333333336</v>
      </c>
      <c r="B84">
        <f>Weather_Site!D94</f>
        <v>33.1</v>
      </c>
      <c r="C84">
        <f>Weather_Site!E94</f>
        <v>18.8</v>
      </c>
      <c r="D84">
        <f>Weather_Site!F94</f>
        <v>198</v>
      </c>
      <c r="E84">
        <f>Weather_Site!G94</f>
        <v>18</v>
      </c>
      <c r="F84">
        <f>'Forest(McArthur)'!M91</f>
        <v>7.882539682539683</v>
      </c>
      <c r="G84">
        <f>Grass!$C$4</f>
        <v>85</v>
      </c>
      <c r="H84">
        <v>0</v>
      </c>
    </row>
    <row r="85" spans="1:8" x14ac:dyDescent="0.25">
      <c r="A85" s="230">
        <f>Weather_Site!B95+Weather_Site!C95</f>
        <v>44552.625</v>
      </c>
      <c r="B85">
        <f>Weather_Site!D95</f>
        <v>34</v>
      </c>
      <c r="C85">
        <f>Weather_Site!E95</f>
        <v>16.100000000000001</v>
      </c>
      <c r="D85">
        <f>Weather_Site!F95</f>
        <v>200</v>
      </c>
      <c r="E85">
        <f>Weather_Site!G95</f>
        <v>17</v>
      </c>
      <c r="F85">
        <f>'Forest(McArthur)'!M92</f>
        <v>7.882539682539683</v>
      </c>
      <c r="G85">
        <f>Grass!$C$4</f>
        <v>85</v>
      </c>
      <c r="H85">
        <v>0</v>
      </c>
    </row>
    <row r="86" spans="1:8" x14ac:dyDescent="0.25">
      <c r="A86" s="230">
        <f>Weather_Site!B96+Weather_Site!C96</f>
        <v>44552.666666666664</v>
      </c>
      <c r="B86">
        <f>Weather_Site!D96</f>
        <v>34.5</v>
      </c>
      <c r="C86">
        <f>Weather_Site!E96</f>
        <v>14.9</v>
      </c>
      <c r="D86">
        <f>Weather_Site!F96</f>
        <v>202</v>
      </c>
      <c r="E86">
        <f>Weather_Site!G96</f>
        <v>19</v>
      </c>
      <c r="F86">
        <f>'Forest(McArthur)'!M93</f>
        <v>7.882539682539683</v>
      </c>
      <c r="G86">
        <f>Grass!$C$4</f>
        <v>85</v>
      </c>
      <c r="H86">
        <v>0</v>
      </c>
    </row>
    <row r="87" spans="1:8" x14ac:dyDescent="0.25">
      <c r="A87" s="230">
        <f>Weather_Site!B97+Weather_Site!C97</f>
        <v>44552.708333333336</v>
      </c>
      <c r="B87">
        <f>Weather_Site!D97</f>
        <v>34.700000000000003</v>
      </c>
      <c r="C87">
        <f>Weather_Site!E97</f>
        <v>13.7</v>
      </c>
      <c r="D87">
        <f>Weather_Site!F97</f>
        <v>203</v>
      </c>
      <c r="E87">
        <f>Weather_Site!G97</f>
        <v>19</v>
      </c>
      <c r="F87">
        <f>'Forest(McArthur)'!M94</f>
        <v>7.882539682539683</v>
      </c>
      <c r="G87">
        <f>Grass!$C$4</f>
        <v>85</v>
      </c>
      <c r="H87">
        <v>0</v>
      </c>
    </row>
    <row r="88" spans="1:8" x14ac:dyDescent="0.25">
      <c r="A88" s="230">
        <f>Weather_Site!B98+Weather_Site!C98</f>
        <v>44552.75</v>
      </c>
      <c r="B88">
        <f>Weather_Site!D98</f>
        <v>34</v>
      </c>
      <c r="C88">
        <f>Weather_Site!E98</f>
        <v>14.3</v>
      </c>
      <c r="D88">
        <f>Weather_Site!F98</f>
        <v>204</v>
      </c>
      <c r="E88">
        <f>Weather_Site!G98</f>
        <v>21</v>
      </c>
      <c r="F88">
        <f>'Forest(McArthur)'!M95</f>
        <v>7.882539682539683</v>
      </c>
      <c r="G88">
        <f>Grass!$C$4</f>
        <v>85</v>
      </c>
      <c r="H88">
        <v>0</v>
      </c>
    </row>
    <row r="89" spans="1:8" x14ac:dyDescent="0.25">
      <c r="A89" s="230">
        <f>Weather_Site!B99+Weather_Site!C99</f>
        <v>44552.791666666664</v>
      </c>
      <c r="B89">
        <f>Weather_Site!D99</f>
        <v>33.4</v>
      </c>
      <c r="C89">
        <f>Weather_Site!E99</f>
        <v>14.5</v>
      </c>
      <c r="D89">
        <f>Weather_Site!F99</f>
        <v>204</v>
      </c>
      <c r="E89">
        <f>Weather_Site!G99</f>
        <v>19</v>
      </c>
      <c r="F89">
        <f>'Forest(McArthur)'!M96</f>
        <v>7.882539682539683</v>
      </c>
      <c r="G89">
        <f>Grass!$C$4</f>
        <v>85</v>
      </c>
      <c r="H89">
        <v>0</v>
      </c>
    </row>
    <row r="90" spans="1:8" x14ac:dyDescent="0.25">
      <c r="A90" s="230">
        <f>Weather_Site!B100+Weather_Site!C100</f>
        <v>44552.833333333336</v>
      </c>
      <c r="B90">
        <f>Weather_Site!D100</f>
        <v>31.9</v>
      </c>
      <c r="C90">
        <f>Weather_Site!E100</f>
        <v>16</v>
      </c>
      <c r="D90">
        <f>Weather_Site!F100</f>
        <v>204</v>
      </c>
      <c r="E90">
        <f>Weather_Site!G100</f>
        <v>17</v>
      </c>
      <c r="F90">
        <f>'Forest(McArthur)'!M97</f>
        <v>7.882539682539683</v>
      </c>
      <c r="G90">
        <f>Grass!$C$4</f>
        <v>85</v>
      </c>
      <c r="H90">
        <v>0</v>
      </c>
    </row>
    <row r="91" spans="1:8" x14ac:dyDescent="0.25">
      <c r="A91" s="230">
        <f>Weather_Site!B101+Weather_Site!C101</f>
        <v>44552.875</v>
      </c>
      <c r="B91">
        <f>Weather_Site!D101</f>
        <v>29.2</v>
      </c>
      <c r="C91">
        <f>Weather_Site!E101</f>
        <v>19.3</v>
      </c>
      <c r="D91">
        <f>Weather_Site!F101</f>
        <v>198</v>
      </c>
      <c r="E91">
        <f>Weather_Site!G101</f>
        <v>15</v>
      </c>
      <c r="F91">
        <f>'Forest(McArthur)'!M98</f>
        <v>7.882539682539683</v>
      </c>
      <c r="G91">
        <f>Grass!$C$4</f>
        <v>85</v>
      </c>
      <c r="H91">
        <v>0</v>
      </c>
    </row>
    <row r="92" spans="1:8" x14ac:dyDescent="0.25">
      <c r="A92" s="230">
        <f>Weather_Site!B102+Weather_Site!C102</f>
        <v>44552.916666666664</v>
      </c>
      <c r="B92">
        <f>Weather_Site!D102</f>
        <v>26.8</v>
      </c>
      <c r="C92">
        <f>Weather_Site!E102</f>
        <v>23.5</v>
      </c>
      <c r="D92">
        <f>Weather_Site!F102</f>
        <v>191</v>
      </c>
      <c r="E92">
        <f>Weather_Site!G102</f>
        <v>14</v>
      </c>
      <c r="F92">
        <f>'Forest(McArthur)'!M99</f>
        <v>7.882539682539683</v>
      </c>
      <c r="G92">
        <f>Grass!$C$4</f>
        <v>85</v>
      </c>
      <c r="H92">
        <v>0</v>
      </c>
    </row>
    <row r="93" spans="1:8" x14ac:dyDescent="0.25">
      <c r="A93" s="230">
        <f>Weather_Site!B103+Weather_Site!C103</f>
        <v>44552.958333333336</v>
      </c>
      <c r="B93">
        <f>Weather_Site!D103</f>
        <v>24.9</v>
      </c>
      <c r="C93">
        <f>Weather_Site!E103</f>
        <v>26.8</v>
      </c>
      <c r="D93">
        <f>Weather_Site!F103</f>
        <v>185</v>
      </c>
      <c r="E93">
        <f>Weather_Site!G103</f>
        <v>12</v>
      </c>
      <c r="F93">
        <f>'Forest(McArthur)'!M100</f>
        <v>7.882539682539683</v>
      </c>
      <c r="G93">
        <f>Grass!$C$4</f>
        <v>85</v>
      </c>
      <c r="H93">
        <v>0</v>
      </c>
    </row>
    <row r="94" spans="1:8" x14ac:dyDescent="0.25">
      <c r="A94" s="230">
        <f>Weather_Site!B104+Weather_Site!C104</f>
        <v>44553</v>
      </c>
      <c r="B94">
        <f>Weather_Site!D104</f>
        <v>24.1</v>
      </c>
      <c r="C94">
        <f>Weather_Site!E104</f>
        <v>27.3</v>
      </c>
      <c r="D94">
        <f>Weather_Site!F104</f>
        <v>175</v>
      </c>
      <c r="E94">
        <f>Weather_Site!G104</f>
        <v>12</v>
      </c>
      <c r="F94">
        <f>'Forest(McArthur)'!M101</f>
        <v>7.882539682539683</v>
      </c>
      <c r="G94">
        <f>Grass!$C$4</f>
        <v>85</v>
      </c>
      <c r="H94">
        <v>0</v>
      </c>
    </row>
    <row r="95" spans="1:8" x14ac:dyDescent="0.25">
      <c r="A95" s="230">
        <f>Weather_Site!B105+Weather_Site!C105</f>
        <v>44553.041666666664</v>
      </c>
      <c r="B95">
        <f>Weather_Site!D105</f>
        <v>23</v>
      </c>
      <c r="C95">
        <f>Weather_Site!E105</f>
        <v>28.2</v>
      </c>
      <c r="D95">
        <f>Weather_Site!F105</f>
        <v>177</v>
      </c>
      <c r="E95">
        <f>Weather_Site!G105</f>
        <v>14</v>
      </c>
      <c r="F95">
        <f>'Forest(McArthur)'!M102</f>
        <v>7.882539682539683</v>
      </c>
      <c r="G95">
        <f>Grass!$C$4</f>
        <v>85</v>
      </c>
      <c r="H95">
        <v>0</v>
      </c>
    </row>
    <row r="96" spans="1:8" x14ac:dyDescent="0.25">
      <c r="A96" s="230">
        <f>Weather_Site!B106+Weather_Site!C106</f>
        <v>44553.083333333336</v>
      </c>
      <c r="B96">
        <f>Weather_Site!D106</f>
        <v>21.8</v>
      </c>
      <c r="C96">
        <f>Weather_Site!E106</f>
        <v>30.1</v>
      </c>
      <c r="D96">
        <f>Weather_Site!F106</f>
        <v>180</v>
      </c>
      <c r="E96">
        <f>Weather_Site!G106</f>
        <v>14</v>
      </c>
      <c r="F96">
        <f>'Forest(McArthur)'!M103</f>
        <v>7.882539682539683</v>
      </c>
      <c r="G96">
        <f>Grass!$C$4</f>
        <v>85</v>
      </c>
      <c r="H96">
        <v>0</v>
      </c>
    </row>
    <row r="97" spans="1:8" x14ac:dyDescent="0.25">
      <c r="A97" s="230">
        <f>Weather_Site!B107+Weather_Site!C107</f>
        <v>44553.125</v>
      </c>
      <c r="B97">
        <f>Weather_Site!D107</f>
        <v>20.399999999999999</v>
      </c>
      <c r="C97">
        <f>Weather_Site!E107</f>
        <v>36.200000000000003</v>
      </c>
      <c r="D97">
        <f>Weather_Site!F107</f>
        <v>173</v>
      </c>
      <c r="E97">
        <f>Weather_Site!G107</f>
        <v>14</v>
      </c>
      <c r="F97">
        <f>'Forest(McArthur)'!M104</f>
        <v>7.882539682539683</v>
      </c>
      <c r="G97">
        <f>Grass!$C$4</f>
        <v>85</v>
      </c>
      <c r="H97">
        <v>0</v>
      </c>
    </row>
    <row r="98" spans="1:8" x14ac:dyDescent="0.25">
      <c r="A98" s="230">
        <f>Weather_Site!B108+Weather_Site!C108</f>
        <v>44553.166666666664</v>
      </c>
      <c r="B98">
        <f>Weather_Site!D108</f>
        <v>19.3</v>
      </c>
      <c r="C98">
        <f>Weather_Site!E108</f>
        <v>43.6</v>
      </c>
      <c r="D98">
        <f>Weather_Site!F108</f>
        <v>171</v>
      </c>
      <c r="E98">
        <f>Weather_Site!G108</f>
        <v>14</v>
      </c>
      <c r="F98">
        <f>'Forest(McArthur)'!M105</f>
        <v>7.882539682539683</v>
      </c>
      <c r="G98">
        <f>Grass!$C$4</f>
        <v>85</v>
      </c>
      <c r="H98">
        <v>0</v>
      </c>
    </row>
    <row r="99" spans="1:8" x14ac:dyDescent="0.25">
      <c r="A99" s="230">
        <f>Weather_Site!B109+Weather_Site!C109</f>
        <v>44553.208333333336</v>
      </c>
      <c r="B99">
        <f>Weather_Site!D109</f>
        <v>18.5</v>
      </c>
      <c r="C99">
        <f>Weather_Site!E109</f>
        <v>49.4</v>
      </c>
      <c r="D99">
        <f>Weather_Site!F109</f>
        <v>168</v>
      </c>
      <c r="E99">
        <f>Weather_Site!G109</f>
        <v>16</v>
      </c>
      <c r="F99">
        <f>'Forest(McArthur)'!M106</f>
        <v>7.882539682539683</v>
      </c>
      <c r="G99">
        <f>Grass!$C$4</f>
        <v>85</v>
      </c>
      <c r="H99">
        <v>0</v>
      </c>
    </row>
    <row r="100" spans="1:8" x14ac:dyDescent="0.25">
      <c r="A100" s="230">
        <f>Weather_Site!B110+Weather_Site!C110</f>
        <v>44553.25</v>
      </c>
      <c r="B100">
        <f>Weather_Site!D110</f>
        <v>17.3</v>
      </c>
      <c r="C100">
        <f>Weather_Site!E110</f>
        <v>51.8</v>
      </c>
      <c r="D100">
        <f>Weather_Site!F110</f>
        <v>174</v>
      </c>
      <c r="E100">
        <f>Weather_Site!G110</f>
        <v>17</v>
      </c>
      <c r="F100">
        <f>'Forest(McArthur)'!M107</f>
        <v>7.882539682539683</v>
      </c>
      <c r="G100">
        <f>Grass!$C$4</f>
        <v>85</v>
      </c>
      <c r="H100">
        <v>0</v>
      </c>
    </row>
    <row r="101" spans="1:8" x14ac:dyDescent="0.25">
      <c r="A101" s="230">
        <f>Weather_Site!B111+Weather_Site!C111</f>
        <v>44553.291666666664</v>
      </c>
      <c r="B101">
        <f>Weather_Site!D111</f>
        <v>17.7</v>
      </c>
      <c r="C101">
        <f>Weather_Site!E111</f>
        <v>48.5</v>
      </c>
      <c r="D101">
        <f>Weather_Site!F111</f>
        <v>156</v>
      </c>
      <c r="E101">
        <f>Weather_Site!G111</f>
        <v>19</v>
      </c>
      <c r="F101">
        <f>'Forest(McArthur)'!M108</f>
        <v>7.882539682539683</v>
      </c>
      <c r="G101">
        <f>Grass!$C$4</f>
        <v>85</v>
      </c>
      <c r="H101">
        <v>0</v>
      </c>
    </row>
    <row r="102" spans="1:8" x14ac:dyDescent="0.25">
      <c r="A102" s="230">
        <f>Weather_Site!B112+Weather_Site!C112</f>
        <v>44553.333333333336</v>
      </c>
      <c r="B102">
        <f>Weather_Site!D112</f>
        <v>20</v>
      </c>
      <c r="C102">
        <f>Weather_Site!E112</f>
        <v>41.5</v>
      </c>
      <c r="D102">
        <f>Weather_Site!F112</f>
        <v>157</v>
      </c>
      <c r="E102">
        <f>Weather_Site!G112</f>
        <v>24</v>
      </c>
      <c r="F102">
        <f>'Forest(McArthur)'!M109</f>
        <v>7.882539682539683</v>
      </c>
      <c r="G102">
        <f>Grass!$C$4</f>
        <v>85</v>
      </c>
      <c r="H102">
        <v>0</v>
      </c>
    </row>
    <row r="103" spans="1:8" x14ac:dyDescent="0.25">
      <c r="A103" s="230">
        <f>Weather_Site!B113+Weather_Site!C113</f>
        <v>44553.375</v>
      </c>
      <c r="B103">
        <f>Weather_Site!D113</f>
        <v>22.1</v>
      </c>
      <c r="C103">
        <f>Weather_Site!E113</f>
        <v>37.5</v>
      </c>
      <c r="D103">
        <f>Weather_Site!F113</f>
        <v>161</v>
      </c>
      <c r="E103">
        <f>Weather_Site!G113</f>
        <v>17</v>
      </c>
      <c r="F103">
        <f>'Forest(McArthur)'!M110</f>
        <v>7.882539682539683</v>
      </c>
      <c r="G103">
        <f>Grass!$C$4</f>
        <v>85</v>
      </c>
      <c r="H103">
        <v>0</v>
      </c>
    </row>
    <row r="104" spans="1:8" x14ac:dyDescent="0.25">
      <c r="A104" s="230">
        <f>Weather_Site!B114+Weather_Site!C114</f>
        <v>44553.416666666664</v>
      </c>
      <c r="B104">
        <f>Weather_Site!D114</f>
        <v>24.6</v>
      </c>
      <c r="C104">
        <f>Weather_Site!E114</f>
        <v>31.3</v>
      </c>
      <c r="D104">
        <f>Weather_Site!F114</f>
        <v>163</v>
      </c>
      <c r="E104">
        <f>Weather_Site!G114</f>
        <v>22</v>
      </c>
      <c r="F104">
        <f>'Forest(McArthur)'!M111</f>
        <v>7.882539682539683</v>
      </c>
      <c r="G104">
        <f>Grass!$C$4</f>
        <v>85</v>
      </c>
      <c r="H104">
        <v>0</v>
      </c>
    </row>
    <row r="105" spans="1:8" x14ac:dyDescent="0.25">
      <c r="A105" s="230">
        <f>Weather_Site!B115+Weather_Site!C115</f>
        <v>44553.458333333336</v>
      </c>
      <c r="B105">
        <f>Weather_Site!D115</f>
        <v>26.7</v>
      </c>
      <c r="C105">
        <f>Weather_Site!E115</f>
        <v>28.1</v>
      </c>
      <c r="D105">
        <f>Weather_Site!F115</f>
        <v>159</v>
      </c>
      <c r="E105">
        <f>Weather_Site!G115</f>
        <v>20</v>
      </c>
      <c r="F105">
        <f>'Forest(McArthur)'!M112</f>
        <v>7.882539682539683</v>
      </c>
      <c r="G105">
        <f>Grass!$C$4</f>
        <v>85</v>
      </c>
      <c r="H105">
        <v>0</v>
      </c>
    </row>
    <row r="106" spans="1:8" x14ac:dyDescent="0.25">
      <c r="A106" s="230">
        <f>Weather_Site!B116+Weather_Site!C116</f>
        <v>44553.5</v>
      </c>
      <c r="B106">
        <f>Weather_Site!D116</f>
        <v>28.6</v>
      </c>
      <c r="C106">
        <f>Weather_Site!E116</f>
        <v>23.8</v>
      </c>
      <c r="D106">
        <f>Weather_Site!F116</f>
        <v>164</v>
      </c>
      <c r="E106">
        <f>Weather_Site!G116</f>
        <v>20</v>
      </c>
      <c r="F106">
        <f>'Forest(McArthur)'!M113</f>
        <v>7.882539682539683</v>
      </c>
      <c r="G106">
        <f>Grass!$C$4</f>
        <v>85</v>
      </c>
      <c r="H106">
        <v>0</v>
      </c>
    </row>
    <row r="107" spans="1:8" x14ac:dyDescent="0.25">
      <c r="A107" s="230">
        <f>Weather_Site!B117+Weather_Site!C117</f>
        <v>44553.541666666664</v>
      </c>
      <c r="B107">
        <f>Weather_Site!D117</f>
        <v>30.2</v>
      </c>
      <c r="C107">
        <f>Weather_Site!E117</f>
        <v>19.899999999999999</v>
      </c>
      <c r="D107">
        <f>Weather_Site!F117</f>
        <v>178</v>
      </c>
      <c r="E107">
        <f>Weather_Site!G117</f>
        <v>20</v>
      </c>
      <c r="F107">
        <f>'Forest(McArthur)'!M114</f>
        <v>7.882539682539683</v>
      </c>
      <c r="G107">
        <f>Grass!$C$4</f>
        <v>85</v>
      </c>
      <c r="H107">
        <v>0</v>
      </c>
    </row>
    <row r="108" spans="1:8" x14ac:dyDescent="0.25">
      <c r="A108" s="230">
        <f>Weather_Site!B118+Weather_Site!C118</f>
        <v>44553.583333333336</v>
      </c>
      <c r="B108">
        <f>Weather_Site!D118</f>
        <v>32.1</v>
      </c>
      <c r="C108">
        <f>Weather_Site!E118</f>
        <v>16.100000000000001</v>
      </c>
      <c r="D108">
        <f>Weather_Site!F118</f>
        <v>176</v>
      </c>
      <c r="E108">
        <f>Weather_Site!G118</f>
        <v>20</v>
      </c>
      <c r="F108">
        <f>'Forest(McArthur)'!M115</f>
        <v>7.882539682539683</v>
      </c>
      <c r="G108">
        <f>Grass!$C$4</f>
        <v>85</v>
      </c>
      <c r="H108">
        <v>0</v>
      </c>
    </row>
    <row r="109" spans="1:8" x14ac:dyDescent="0.25">
      <c r="A109" s="230">
        <f>Weather_Site!B119+Weather_Site!C119</f>
        <v>44553.625</v>
      </c>
      <c r="B109">
        <f>Weather_Site!D119</f>
        <v>33</v>
      </c>
      <c r="C109">
        <f>Weather_Site!E119</f>
        <v>14.1</v>
      </c>
      <c r="D109">
        <f>Weather_Site!F119</f>
        <v>176</v>
      </c>
      <c r="E109">
        <f>Weather_Site!G119</f>
        <v>18</v>
      </c>
      <c r="F109">
        <f>'Forest(McArthur)'!M116</f>
        <v>7.882539682539683</v>
      </c>
      <c r="G109">
        <f>Grass!$C$4</f>
        <v>85</v>
      </c>
      <c r="H109">
        <v>0</v>
      </c>
    </row>
    <row r="110" spans="1:8" x14ac:dyDescent="0.25">
      <c r="A110" s="230">
        <f>Weather_Site!B120+Weather_Site!C120</f>
        <v>44553.666666666664</v>
      </c>
      <c r="B110">
        <f>Weather_Site!D120</f>
        <v>33.6</v>
      </c>
      <c r="C110">
        <f>Weather_Site!E120</f>
        <v>12.8</v>
      </c>
      <c r="D110">
        <f>Weather_Site!F120</f>
        <v>179</v>
      </c>
      <c r="E110">
        <f>Weather_Site!G120</f>
        <v>19</v>
      </c>
      <c r="F110">
        <f>'Forest(McArthur)'!M117</f>
        <v>7.882539682539683</v>
      </c>
      <c r="G110">
        <f>Grass!$C$4</f>
        <v>85</v>
      </c>
      <c r="H110">
        <v>0</v>
      </c>
    </row>
    <row r="111" spans="1:8" x14ac:dyDescent="0.25">
      <c r="A111" s="230">
        <f>Weather_Site!B121+Weather_Site!C121</f>
        <v>44553.708333333336</v>
      </c>
      <c r="B111">
        <f>Weather_Site!D121</f>
        <v>33.799999999999997</v>
      </c>
      <c r="C111">
        <f>Weather_Site!E121</f>
        <v>11.6</v>
      </c>
      <c r="D111">
        <f>Weather_Site!F121</f>
        <v>177</v>
      </c>
      <c r="E111">
        <f>Weather_Site!G121</f>
        <v>19</v>
      </c>
      <c r="F111">
        <f>'Forest(McArthur)'!M118</f>
        <v>7.882539682539683</v>
      </c>
      <c r="G111">
        <f>Grass!$C$4</f>
        <v>85</v>
      </c>
      <c r="H111">
        <v>0</v>
      </c>
    </row>
    <row r="112" spans="1:8" x14ac:dyDescent="0.25">
      <c r="A112" s="230">
        <f>Weather_Site!B122+Weather_Site!C122</f>
        <v>44553.75</v>
      </c>
      <c r="B112">
        <f>Weather_Site!D122</f>
        <v>33.200000000000003</v>
      </c>
      <c r="C112">
        <f>Weather_Site!E122</f>
        <v>11.8</v>
      </c>
      <c r="D112">
        <f>Weather_Site!F122</f>
        <v>173</v>
      </c>
      <c r="E112">
        <f>Weather_Site!G122</f>
        <v>21</v>
      </c>
      <c r="F112">
        <f>'Forest(McArthur)'!M119</f>
        <v>7.882539682539683</v>
      </c>
      <c r="G112">
        <f>Grass!$C$4</f>
        <v>85</v>
      </c>
      <c r="H112">
        <v>0</v>
      </c>
    </row>
    <row r="113" spans="1:8" x14ac:dyDescent="0.25">
      <c r="A113" s="230">
        <f>Weather_Site!B123+Weather_Site!C123</f>
        <v>44553.791666666664</v>
      </c>
      <c r="B113">
        <f>Weather_Site!D123</f>
        <v>32.700000000000003</v>
      </c>
      <c r="C113">
        <f>Weather_Site!E123</f>
        <v>12</v>
      </c>
      <c r="D113">
        <f>Weather_Site!F123</f>
        <v>176</v>
      </c>
      <c r="E113">
        <f>Weather_Site!G123</f>
        <v>19</v>
      </c>
      <c r="F113">
        <f>'Forest(McArthur)'!M120</f>
        <v>7.882539682539683</v>
      </c>
      <c r="G113">
        <f>Grass!$C$4</f>
        <v>85</v>
      </c>
      <c r="H113">
        <v>0</v>
      </c>
    </row>
    <row r="114" spans="1:8" x14ac:dyDescent="0.25">
      <c r="A114" s="230">
        <f>Weather_Site!B124+Weather_Site!C124</f>
        <v>44553.833333333336</v>
      </c>
      <c r="B114">
        <f>Weather_Site!D124</f>
        <v>31.1</v>
      </c>
      <c r="C114">
        <f>Weather_Site!E124</f>
        <v>14.3</v>
      </c>
      <c r="D114">
        <f>Weather_Site!F124</f>
        <v>170</v>
      </c>
      <c r="E114">
        <f>Weather_Site!G124</f>
        <v>17</v>
      </c>
      <c r="F114">
        <f>'Forest(McArthur)'!M121</f>
        <v>7.882539682539683</v>
      </c>
      <c r="G114">
        <f>Grass!$C$4</f>
        <v>85</v>
      </c>
      <c r="H114">
        <v>0</v>
      </c>
    </row>
    <row r="115" spans="1:8" x14ac:dyDescent="0.25">
      <c r="A115" s="230">
        <f>Weather_Site!B125+Weather_Site!C125</f>
        <v>44553.875</v>
      </c>
      <c r="B115">
        <f>Weather_Site!D125</f>
        <v>28.5</v>
      </c>
      <c r="C115">
        <f>Weather_Site!E125</f>
        <v>17.7</v>
      </c>
      <c r="D115">
        <f>Weather_Site!F125</f>
        <v>169</v>
      </c>
      <c r="E115">
        <f>Weather_Site!G125</f>
        <v>14</v>
      </c>
      <c r="F115">
        <f>'Forest(McArthur)'!M122</f>
        <v>7.882539682539683</v>
      </c>
      <c r="G115">
        <f>Grass!$C$4</f>
        <v>85</v>
      </c>
      <c r="H115">
        <v>0</v>
      </c>
    </row>
    <row r="116" spans="1:8" x14ac:dyDescent="0.25">
      <c r="A116" s="230">
        <f>Weather_Site!B126+Weather_Site!C126</f>
        <v>44553.916666666664</v>
      </c>
      <c r="B116">
        <f>Weather_Site!D126</f>
        <v>26.2</v>
      </c>
      <c r="C116">
        <f>Weather_Site!E126</f>
        <v>22</v>
      </c>
      <c r="D116">
        <f>Weather_Site!F126</f>
        <v>172</v>
      </c>
      <c r="E116">
        <f>Weather_Site!G126</f>
        <v>12</v>
      </c>
      <c r="F116">
        <f>'Forest(McArthur)'!M123</f>
        <v>7.882539682539683</v>
      </c>
      <c r="G116">
        <f>Grass!$C$4</f>
        <v>85</v>
      </c>
      <c r="H116">
        <v>0</v>
      </c>
    </row>
    <row r="117" spans="1:8" x14ac:dyDescent="0.25">
      <c r="A117" s="230">
        <f>Weather_Site!B127+Weather_Site!C127</f>
        <v>44553.958333333336</v>
      </c>
      <c r="B117">
        <f>Weather_Site!D127</f>
        <v>24.3</v>
      </c>
      <c r="C117">
        <f>Weather_Site!E127</f>
        <v>25.5</v>
      </c>
      <c r="D117">
        <f>Weather_Site!F127</f>
        <v>169</v>
      </c>
      <c r="E117">
        <f>Weather_Site!G127</f>
        <v>11</v>
      </c>
      <c r="F117">
        <f>'Forest(McArthur)'!M124</f>
        <v>7.882539682539683</v>
      </c>
      <c r="G117">
        <f>Grass!$C$4</f>
        <v>85</v>
      </c>
      <c r="H117">
        <v>0</v>
      </c>
    </row>
    <row r="118" spans="1:8" x14ac:dyDescent="0.25">
      <c r="A118" s="230">
        <f>Weather_Site!B128+Weather_Site!C128</f>
        <v>44554</v>
      </c>
      <c r="B118">
        <f>Weather_Site!D128</f>
        <v>24.1</v>
      </c>
      <c r="C118">
        <f>Weather_Site!E128</f>
        <v>26</v>
      </c>
      <c r="D118">
        <f>Weather_Site!F128</f>
        <v>153</v>
      </c>
      <c r="E118">
        <f>Weather_Site!G128</f>
        <v>10</v>
      </c>
      <c r="F118">
        <f>'Forest(McArthur)'!M125</f>
        <v>7.882539682539683</v>
      </c>
      <c r="G118">
        <f>Grass!$C$4</f>
        <v>85</v>
      </c>
      <c r="H118">
        <v>0</v>
      </c>
    </row>
    <row r="119" spans="1:8" x14ac:dyDescent="0.25">
      <c r="A119" s="230">
        <f>Weather_Site!B129+Weather_Site!C129</f>
        <v>44554.041666666664</v>
      </c>
      <c r="B119">
        <f>Weather_Site!D129</f>
        <v>22.8</v>
      </c>
      <c r="C119">
        <f>Weather_Site!E129</f>
        <v>27.7</v>
      </c>
      <c r="D119">
        <f>Weather_Site!F129</f>
        <v>152</v>
      </c>
      <c r="E119">
        <f>Weather_Site!G129</f>
        <v>12</v>
      </c>
      <c r="F119">
        <f>'Forest(McArthur)'!M126</f>
        <v>7.882539682539683</v>
      </c>
      <c r="G119">
        <f>Grass!$C$4</f>
        <v>85</v>
      </c>
      <c r="H119">
        <v>0</v>
      </c>
    </row>
    <row r="120" spans="1:8" x14ac:dyDescent="0.25">
      <c r="A120" s="230">
        <f>Weather_Site!B130+Weather_Site!C130</f>
        <v>44554.083333333336</v>
      </c>
      <c r="B120">
        <f>Weather_Site!D130</f>
        <v>21.6</v>
      </c>
      <c r="C120">
        <f>Weather_Site!E130</f>
        <v>29.6</v>
      </c>
      <c r="D120">
        <f>Weather_Site!F130</f>
        <v>151</v>
      </c>
      <c r="E120">
        <f>Weather_Site!G130</f>
        <v>13</v>
      </c>
      <c r="F120">
        <f>'Forest(McArthur)'!M127</f>
        <v>7.882539682539683</v>
      </c>
      <c r="G120">
        <f>Grass!$C$4</f>
        <v>85</v>
      </c>
      <c r="H120">
        <v>0</v>
      </c>
    </row>
    <row r="121" spans="1:8" x14ac:dyDescent="0.25">
      <c r="A121" s="230">
        <f>Weather_Site!B131+Weather_Site!C131</f>
        <v>44554.125</v>
      </c>
      <c r="B121">
        <f>Weather_Site!D131</f>
        <v>20.3</v>
      </c>
      <c r="C121">
        <f>Weather_Site!E131</f>
        <v>32.1</v>
      </c>
      <c r="D121">
        <f>Weather_Site!F131</f>
        <v>151</v>
      </c>
      <c r="E121">
        <f>Weather_Site!G131</f>
        <v>11</v>
      </c>
      <c r="F121">
        <f>'Forest(McArthur)'!M128</f>
        <v>7.882539682539683</v>
      </c>
      <c r="G121">
        <f>Grass!$C$4</f>
        <v>85</v>
      </c>
      <c r="H121">
        <v>0</v>
      </c>
    </row>
    <row r="122" spans="1:8" x14ac:dyDescent="0.25">
      <c r="A122" s="230">
        <f>Weather_Site!B132+Weather_Site!C132</f>
        <v>44554.166666666664</v>
      </c>
      <c r="B122">
        <f>Weather_Site!D132</f>
        <v>19.5</v>
      </c>
      <c r="C122">
        <f>Weather_Site!E132</f>
        <v>34</v>
      </c>
      <c r="D122">
        <f>Weather_Site!F132</f>
        <v>149</v>
      </c>
      <c r="E122">
        <f>Weather_Site!G132</f>
        <v>10</v>
      </c>
      <c r="F122">
        <f>'Forest(McArthur)'!M129</f>
        <v>7.882539682539683</v>
      </c>
      <c r="G122">
        <f>Grass!$C$4</f>
        <v>85</v>
      </c>
      <c r="H122">
        <v>0</v>
      </c>
    </row>
    <row r="123" spans="1:8" x14ac:dyDescent="0.25">
      <c r="A123" s="230">
        <f>Weather_Site!B133+Weather_Site!C133</f>
        <v>44554.208333333336</v>
      </c>
      <c r="B123">
        <f>Weather_Site!D133</f>
        <v>18.8</v>
      </c>
      <c r="C123">
        <f>Weather_Site!E133</f>
        <v>34.5</v>
      </c>
      <c r="D123">
        <f>Weather_Site!F133</f>
        <v>145</v>
      </c>
      <c r="E123">
        <f>Weather_Site!G133</f>
        <v>11</v>
      </c>
      <c r="F123">
        <f>'Forest(McArthur)'!M130</f>
        <v>7.882539682539683</v>
      </c>
      <c r="G123">
        <f>Grass!$C$4</f>
        <v>85</v>
      </c>
      <c r="H123">
        <v>0</v>
      </c>
    </row>
    <row r="124" spans="1:8" x14ac:dyDescent="0.25">
      <c r="A124" s="230">
        <f>Weather_Site!B134+Weather_Site!C134</f>
        <v>44554.25</v>
      </c>
      <c r="B124">
        <f>Weather_Site!D134</f>
        <v>18.100000000000001</v>
      </c>
      <c r="C124">
        <f>Weather_Site!E134</f>
        <v>37.299999999999997</v>
      </c>
      <c r="D124">
        <f>Weather_Site!F134</f>
        <v>142</v>
      </c>
      <c r="E124">
        <f>Weather_Site!G134</f>
        <v>12</v>
      </c>
      <c r="F124">
        <f>'Forest(McArthur)'!M131</f>
        <v>7.882539682539683</v>
      </c>
      <c r="G124">
        <f>Grass!$C$4</f>
        <v>85</v>
      </c>
      <c r="H124">
        <v>0</v>
      </c>
    </row>
    <row r="125" spans="1:8" x14ac:dyDescent="0.25">
      <c r="A125" s="230">
        <f>Weather_Site!B135+Weather_Site!C135</f>
        <v>44554.291666666664</v>
      </c>
      <c r="B125">
        <f>Weather_Site!D135</f>
        <v>19.2</v>
      </c>
      <c r="C125">
        <f>Weather_Site!E135</f>
        <v>35.799999999999997</v>
      </c>
      <c r="D125">
        <f>Weather_Site!F135</f>
        <v>141</v>
      </c>
      <c r="E125">
        <f>Weather_Site!G135</f>
        <v>14</v>
      </c>
      <c r="F125">
        <f>'Forest(McArthur)'!M132</f>
        <v>7.882539682539683</v>
      </c>
      <c r="G125">
        <f>Grass!$C$4</f>
        <v>85</v>
      </c>
      <c r="H125">
        <v>0</v>
      </c>
    </row>
    <row r="126" spans="1:8" x14ac:dyDescent="0.25">
      <c r="A126" s="230">
        <f>Weather_Site!B136+Weather_Site!C136</f>
        <v>44554.333333333336</v>
      </c>
      <c r="B126">
        <f>Weather_Site!D136</f>
        <v>22</v>
      </c>
      <c r="C126">
        <f>Weather_Site!E136</f>
        <v>31.5</v>
      </c>
      <c r="D126">
        <f>Weather_Site!F136</f>
        <v>138</v>
      </c>
      <c r="E126">
        <f>Weather_Site!G136</f>
        <v>19</v>
      </c>
      <c r="F126">
        <f>'Forest(McArthur)'!M133</f>
        <v>7.882539682539683</v>
      </c>
      <c r="G126">
        <f>Grass!$C$4</f>
        <v>85</v>
      </c>
      <c r="H126">
        <v>0</v>
      </c>
    </row>
    <row r="127" spans="1:8" x14ac:dyDescent="0.25">
      <c r="A127" s="230">
        <f>Weather_Site!B137+Weather_Site!C137</f>
        <v>44554.375</v>
      </c>
      <c r="B127">
        <f>Weather_Site!D137</f>
        <v>24.3</v>
      </c>
      <c r="C127">
        <f>Weather_Site!E137</f>
        <v>28</v>
      </c>
      <c r="D127">
        <f>Weather_Site!F137</f>
        <v>136</v>
      </c>
      <c r="E127">
        <f>Weather_Site!G137</f>
        <v>12</v>
      </c>
      <c r="F127">
        <f>'Forest(McArthur)'!M134</f>
        <v>7.882539682539683</v>
      </c>
      <c r="G127">
        <f>Grass!$C$4</f>
        <v>85</v>
      </c>
      <c r="H127">
        <v>0</v>
      </c>
    </row>
    <row r="128" spans="1:8" x14ac:dyDescent="0.25">
      <c r="A128" s="230">
        <f>Weather_Site!B138+Weather_Site!C138</f>
        <v>44554.416666666664</v>
      </c>
      <c r="B128">
        <f>Weather_Site!D138</f>
        <v>26.9</v>
      </c>
      <c r="C128">
        <f>Weather_Site!E138</f>
        <v>23.2</v>
      </c>
      <c r="D128">
        <f>Weather_Site!F138</f>
        <v>138</v>
      </c>
      <c r="E128">
        <f>Weather_Site!G138</f>
        <v>16</v>
      </c>
      <c r="F128">
        <f>'Forest(McArthur)'!M135</f>
        <v>7.882539682539683</v>
      </c>
      <c r="G128">
        <f>Grass!$C$4</f>
        <v>85</v>
      </c>
      <c r="H128">
        <v>0</v>
      </c>
    </row>
    <row r="129" spans="1:8" x14ac:dyDescent="0.25">
      <c r="A129" s="230">
        <f>Weather_Site!B139+Weather_Site!C139</f>
        <v>44554.458333333336</v>
      </c>
      <c r="B129">
        <f>Weather_Site!D139</f>
        <v>28.8</v>
      </c>
      <c r="C129">
        <f>Weather_Site!E139</f>
        <v>20.399999999999999</v>
      </c>
      <c r="D129">
        <f>Weather_Site!F139</f>
        <v>136</v>
      </c>
      <c r="E129">
        <f>Weather_Site!G139</f>
        <v>13</v>
      </c>
      <c r="F129">
        <f>'Forest(McArthur)'!M136</f>
        <v>7.882539682539683</v>
      </c>
      <c r="G129">
        <f>Grass!$C$4</f>
        <v>85</v>
      </c>
      <c r="H129">
        <v>0</v>
      </c>
    </row>
    <row r="130" spans="1:8" x14ac:dyDescent="0.25">
      <c r="A130" s="230">
        <f>Weather_Site!B140+Weather_Site!C140</f>
        <v>44554.5</v>
      </c>
      <c r="B130">
        <f>Weather_Site!D140</f>
        <v>30.8</v>
      </c>
      <c r="C130">
        <f>Weather_Site!E140</f>
        <v>17.600000000000001</v>
      </c>
      <c r="D130">
        <f>Weather_Site!F140</f>
        <v>141</v>
      </c>
      <c r="E130">
        <f>Weather_Site!G140</f>
        <v>13</v>
      </c>
      <c r="F130">
        <f>'Forest(McArthur)'!M137</f>
        <v>7.882539682539683</v>
      </c>
      <c r="G130">
        <f>Grass!$C$4</f>
        <v>85</v>
      </c>
      <c r="H130">
        <v>0</v>
      </c>
    </row>
    <row r="131" spans="1:8" x14ac:dyDescent="0.25">
      <c r="A131" s="230">
        <f>Weather_Site!B141+Weather_Site!C141</f>
        <v>44554.541666666664</v>
      </c>
      <c r="B131">
        <f>Weather_Site!D141</f>
        <v>32.6</v>
      </c>
      <c r="C131">
        <f>Weather_Site!E141</f>
        <v>15.3</v>
      </c>
      <c r="D131">
        <f>Weather_Site!F141</f>
        <v>145</v>
      </c>
      <c r="E131">
        <f>Weather_Site!G141</f>
        <v>13</v>
      </c>
      <c r="F131">
        <f>'Forest(McArthur)'!M138</f>
        <v>7.882539682539683</v>
      </c>
      <c r="G131">
        <f>Grass!$C$4</f>
        <v>85</v>
      </c>
      <c r="H131">
        <v>0</v>
      </c>
    </row>
    <row r="132" spans="1:8" x14ac:dyDescent="0.25">
      <c r="A132" s="230">
        <f>Weather_Site!B142+Weather_Site!C142</f>
        <v>44554.583333333336</v>
      </c>
      <c r="B132">
        <f>Weather_Site!D142</f>
        <v>34.299999999999997</v>
      </c>
      <c r="C132">
        <f>Weather_Site!E142</f>
        <v>13.4</v>
      </c>
      <c r="D132">
        <f>Weather_Site!F142</f>
        <v>150</v>
      </c>
      <c r="E132">
        <f>Weather_Site!G142</f>
        <v>13</v>
      </c>
      <c r="F132">
        <f>'Forest(McArthur)'!M139</f>
        <v>7.882539682539683</v>
      </c>
      <c r="G132">
        <f>Grass!$C$4</f>
        <v>85</v>
      </c>
      <c r="H132">
        <v>0</v>
      </c>
    </row>
    <row r="133" spans="1:8" x14ac:dyDescent="0.25">
      <c r="A133" s="230">
        <f>Weather_Site!B143+Weather_Site!C143</f>
        <v>44554.625</v>
      </c>
      <c r="B133">
        <f>Weather_Site!D143</f>
        <v>35.4</v>
      </c>
      <c r="C133">
        <f>Weather_Site!E143</f>
        <v>12.1</v>
      </c>
      <c r="D133">
        <f>Weather_Site!F143</f>
        <v>154</v>
      </c>
      <c r="E133">
        <f>Weather_Site!G143</f>
        <v>11</v>
      </c>
      <c r="F133">
        <f>'Forest(McArthur)'!M140</f>
        <v>7.882539682539683</v>
      </c>
      <c r="G133">
        <f>Grass!$C$4</f>
        <v>85</v>
      </c>
      <c r="H133">
        <v>0</v>
      </c>
    </row>
    <row r="134" spans="1:8" x14ac:dyDescent="0.25">
      <c r="A134" s="230">
        <f>Weather_Site!B144+Weather_Site!C144</f>
        <v>44554.666666666664</v>
      </c>
      <c r="B134">
        <f>Weather_Site!D144</f>
        <v>36.1</v>
      </c>
      <c r="C134">
        <f>Weather_Site!E144</f>
        <v>11.4</v>
      </c>
      <c r="D134">
        <f>Weather_Site!F144</f>
        <v>159</v>
      </c>
      <c r="E134">
        <f>Weather_Site!G144</f>
        <v>12</v>
      </c>
      <c r="F134">
        <f>'Forest(McArthur)'!M141</f>
        <v>7.882539682539683</v>
      </c>
      <c r="G134">
        <f>Grass!$C$4</f>
        <v>85</v>
      </c>
      <c r="H134">
        <v>0</v>
      </c>
    </row>
    <row r="135" spans="1:8" x14ac:dyDescent="0.25">
      <c r="A135" s="230">
        <f>Weather_Site!B145+Weather_Site!C145</f>
        <v>44554.708333333336</v>
      </c>
      <c r="B135">
        <f>Weather_Site!D145</f>
        <v>36.6</v>
      </c>
      <c r="C135">
        <f>Weather_Site!E145</f>
        <v>10.8</v>
      </c>
      <c r="D135">
        <f>Weather_Site!F145</f>
        <v>164</v>
      </c>
      <c r="E135">
        <f>Weather_Site!G145</f>
        <v>11</v>
      </c>
      <c r="F135">
        <f>'Forest(McArthur)'!M142</f>
        <v>7.882539682539683</v>
      </c>
      <c r="G135">
        <f>Grass!$C$4</f>
        <v>85</v>
      </c>
      <c r="H135">
        <v>0</v>
      </c>
    </row>
    <row r="136" spans="1:8" x14ac:dyDescent="0.25">
      <c r="A136" s="230">
        <f>Weather_Site!B146+Weather_Site!C146</f>
        <v>44554.75</v>
      </c>
      <c r="B136">
        <f>Weather_Site!D146</f>
        <v>36</v>
      </c>
      <c r="C136">
        <f>Weather_Site!E146</f>
        <v>11.3</v>
      </c>
      <c r="D136">
        <f>Weather_Site!F146</f>
        <v>157</v>
      </c>
      <c r="E136">
        <f>Weather_Site!G146</f>
        <v>12</v>
      </c>
      <c r="F136">
        <f>'Forest(McArthur)'!M143</f>
        <v>7.882539682539683</v>
      </c>
      <c r="G136">
        <f>Grass!$C$4</f>
        <v>85</v>
      </c>
      <c r="H136">
        <v>0</v>
      </c>
    </row>
    <row r="137" spans="1:8" x14ac:dyDescent="0.25">
      <c r="A137" s="230">
        <f>Weather_Site!B147+Weather_Site!C147</f>
        <v>44554.791666666664</v>
      </c>
      <c r="B137">
        <f>Weather_Site!D147</f>
        <v>35.5</v>
      </c>
      <c r="C137">
        <f>Weather_Site!E147</f>
        <v>11.5</v>
      </c>
      <c r="D137">
        <f>Weather_Site!F147</f>
        <v>154</v>
      </c>
      <c r="E137">
        <f>Weather_Site!G147</f>
        <v>11</v>
      </c>
      <c r="F137">
        <f>'Forest(McArthur)'!M144</f>
        <v>7.882539682539683</v>
      </c>
      <c r="G137">
        <f>Grass!$C$4</f>
        <v>85</v>
      </c>
      <c r="H137">
        <v>0</v>
      </c>
    </row>
    <row r="138" spans="1:8" x14ac:dyDescent="0.25">
      <c r="A138" s="230">
        <f>Weather_Site!B148+Weather_Site!C148</f>
        <v>44554.833333333336</v>
      </c>
      <c r="B138">
        <f>Weather_Site!D148</f>
        <v>34</v>
      </c>
      <c r="C138">
        <f>Weather_Site!E148</f>
        <v>12.6</v>
      </c>
      <c r="D138">
        <f>Weather_Site!F148</f>
        <v>152</v>
      </c>
      <c r="E138">
        <f>Weather_Site!G148</f>
        <v>9</v>
      </c>
      <c r="F138">
        <f>'Forest(McArthur)'!M145</f>
        <v>7.882539682539683</v>
      </c>
      <c r="G138">
        <f>Grass!$C$4</f>
        <v>85</v>
      </c>
      <c r="H138">
        <v>0</v>
      </c>
    </row>
    <row r="139" spans="1:8" x14ac:dyDescent="0.25">
      <c r="A139" s="230">
        <f>Weather_Site!B149+Weather_Site!C149</f>
        <v>44554.875</v>
      </c>
      <c r="B139">
        <f>Weather_Site!D149</f>
        <v>30.8</v>
      </c>
      <c r="C139">
        <f>Weather_Site!E149</f>
        <v>16.3</v>
      </c>
      <c r="D139">
        <f>Weather_Site!F149</f>
        <v>150</v>
      </c>
      <c r="E139">
        <f>Weather_Site!G149</f>
        <v>8</v>
      </c>
      <c r="F139">
        <f>'Forest(McArthur)'!M146</f>
        <v>7.882539682539683</v>
      </c>
      <c r="G139">
        <f>Grass!$C$4</f>
        <v>85</v>
      </c>
      <c r="H139">
        <v>0</v>
      </c>
    </row>
    <row r="140" spans="1:8" x14ac:dyDescent="0.25">
      <c r="A140" s="230">
        <f>Weather_Site!B150+Weather_Site!C150</f>
        <v>44554.916666666664</v>
      </c>
      <c r="B140">
        <f>Weather_Site!D150</f>
        <v>28.5</v>
      </c>
      <c r="C140">
        <f>Weather_Site!E150</f>
        <v>19.399999999999999</v>
      </c>
      <c r="D140">
        <f>Weather_Site!F150</f>
        <v>148</v>
      </c>
      <c r="E140">
        <f>Weather_Site!G150</f>
        <v>9</v>
      </c>
      <c r="F140">
        <f>'Forest(McArthur)'!M147</f>
        <v>7.882539682539683</v>
      </c>
      <c r="G140">
        <f>Grass!$C$4</f>
        <v>85</v>
      </c>
      <c r="H140">
        <v>0</v>
      </c>
    </row>
    <row r="141" spans="1:8" x14ac:dyDescent="0.25">
      <c r="A141" s="230">
        <f>Weather_Site!B151+Weather_Site!C151</f>
        <v>44554.958333333336</v>
      </c>
      <c r="B141">
        <f>Weather_Site!D151</f>
        <v>26.7</v>
      </c>
      <c r="C141">
        <f>Weather_Site!E151</f>
        <v>22</v>
      </c>
      <c r="D141">
        <f>Weather_Site!F151</f>
        <v>145</v>
      </c>
      <c r="E141">
        <f>Weather_Site!G151</f>
        <v>9</v>
      </c>
      <c r="F141">
        <f>'Forest(McArthur)'!M148</f>
        <v>7.882539682539683</v>
      </c>
      <c r="G141">
        <f>Grass!$C$4</f>
        <v>85</v>
      </c>
      <c r="H141">
        <v>0</v>
      </c>
    </row>
    <row r="142" spans="1:8" x14ac:dyDescent="0.25">
      <c r="A142" s="230">
        <f>Weather_Site!B152+Weather_Site!C152</f>
        <v>44555</v>
      </c>
      <c r="B142">
        <f>Weather_Site!D152</f>
        <v>26</v>
      </c>
      <c r="C142">
        <f>Weather_Site!E152</f>
        <v>23.4</v>
      </c>
      <c r="D142">
        <f>Weather_Site!F152</f>
        <v>131</v>
      </c>
      <c r="E142">
        <f>Weather_Site!G152</f>
        <v>9</v>
      </c>
      <c r="F142">
        <f>'Forest(McArthur)'!M149</f>
        <v>7.882539682539683</v>
      </c>
      <c r="G142">
        <f>Grass!$C$4</f>
        <v>85</v>
      </c>
      <c r="H142">
        <v>0</v>
      </c>
    </row>
    <row r="143" spans="1:8" x14ac:dyDescent="0.25">
      <c r="A143" s="230">
        <f>Weather_Site!B153+Weather_Site!C153</f>
        <v>44555.041666666664</v>
      </c>
      <c r="B143">
        <f>Weather_Site!D153</f>
        <v>24.8</v>
      </c>
      <c r="C143">
        <f>Weather_Site!E153</f>
        <v>25</v>
      </c>
      <c r="D143">
        <f>Weather_Site!F153</f>
        <v>122</v>
      </c>
      <c r="E143">
        <f>Weather_Site!G153</f>
        <v>10</v>
      </c>
      <c r="F143">
        <f>'Forest(McArthur)'!M150</f>
        <v>7.882539682539683</v>
      </c>
      <c r="G143">
        <f>Grass!$C$4</f>
        <v>85</v>
      </c>
      <c r="H143">
        <v>0</v>
      </c>
    </row>
    <row r="144" spans="1:8" x14ac:dyDescent="0.25">
      <c r="A144" s="230">
        <f>Weather_Site!B154+Weather_Site!C154</f>
        <v>44555.083333333336</v>
      </c>
      <c r="B144">
        <f>Weather_Site!D154</f>
        <v>23.8</v>
      </c>
      <c r="C144">
        <f>Weather_Site!E154</f>
        <v>26.7</v>
      </c>
      <c r="D144">
        <f>Weather_Site!F154</f>
        <v>123</v>
      </c>
      <c r="E144">
        <f>Weather_Site!G154</f>
        <v>10</v>
      </c>
      <c r="F144">
        <f>'Forest(McArthur)'!M151</f>
        <v>7.882539682539683</v>
      </c>
      <c r="G144">
        <f>Grass!$C$4</f>
        <v>85</v>
      </c>
      <c r="H144">
        <v>0</v>
      </c>
    </row>
    <row r="145" spans="1:8" x14ac:dyDescent="0.25">
      <c r="A145" s="230">
        <f>Weather_Site!B155+Weather_Site!C155</f>
        <v>44555.125</v>
      </c>
      <c r="B145">
        <f>Weather_Site!D155</f>
        <v>22.5</v>
      </c>
      <c r="C145">
        <f>Weather_Site!E155</f>
        <v>32.700000000000003</v>
      </c>
      <c r="D145">
        <f>Weather_Site!F155</f>
        <v>121</v>
      </c>
      <c r="E145">
        <f>Weather_Site!G155</f>
        <v>10</v>
      </c>
      <c r="F145">
        <f>'Forest(McArthur)'!M152</f>
        <v>7.882539682539683</v>
      </c>
      <c r="G145">
        <f>Grass!$C$4</f>
        <v>85</v>
      </c>
      <c r="H145">
        <v>0</v>
      </c>
    </row>
    <row r="146" spans="1:8" x14ac:dyDescent="0.25">
      <c r="A146" s="230">
        <f>Weather_Site!B156+Weather_Site!C156</f>
        <v>44555.166666666664</v>
      </c>
      <c r="B146">
        <f>Weather_Site!D156</f>
        <v>21.6</v>
      </c>
      <c r="C146">
        <f>Weather_Site!E156</f>
        <v>38.4</v>
      </c>
      <c r="D146">
        <f>Weather_Site!F156</f>
        <v>119</v>
      </c>
      <c r="E146">
        <f>Weather_Site!G156</f>
        <v>9</v>
      </c>
      <c r="F146">
        <f>'Forest(McArthur)'!M153</f>
        <v>7.882539682539683</v>
      </c>
      <c r="G146">
        <f>Grass!$C$4</f>
        <v>85</v>
      </c>
      <c r="H146">
        <v>0</v>
      </c>
    </row>
    <row r="147" spans="1:8" x14ac:dyDescent="0.25">
      <c r="A147" s="230">
        <f>Weather_Site!B157+Weather_Site!C157</f>
        <v>44555.208333333336</v>
      </c>
      <c r="B147">
        <f>Weather_Site!D157</f>
        <v>20.7</v>
      </c>
      <c r="C147">
        <f>Weather_Site!E157</f>
        <v>44.9</v>
      </c>
      <c r="D147">
        <f>Weather_Site!F157</f>
        <v>117</v>
      </c>
      <c r="E147">
        <f>Weather_Site!G157</f>
        <v>9</v>
      </c>
      <c r="F147">
        <f>'Forest(McArthur)'!M154</f>
        <v>7.882539682539683</v>
      </c>
      <c r="G147">
        <f>Grass!$C$4</f>
        <v>85</v>
      </c>
      <c r="H147">
        <v>0</v>
      </c>
    </row>
    <row r="148" spans="1:8" x14ac:dyDescent="0.25">
      <c r="A148" s="230">
        <f>Weather_Site!B158+Weather_Site!C158</f>
        <v>44555.25</v>
      </c>
      <c r="B148">
        <f>Weather_Site!D158</f>
        <v>20.6</v>
      </c>
      <c r="C148">
        <f>Weather_Site!E158</f>
        <v>46.4</v>
      </c>
      <c r="D148">
        <f>Weather_Site!F158</f>
        <v>113</v>
      </c>
      <c r="E148">
        <f>Weather_Site!G158</f>
        <v>9</v>
      </c>
      <c r="F148">
        <f>'Forest(McArthur)'!M155</f>
        <v>7.882539682539683</v>
      </c>
      <c r="G148">
        <f>Grass!$C$4</f>
        <v>85</v>
      </c>
      <c r="H148">
        <v>0</v>
      </c>
    </row>
    <row r="149" spans="1:8" x14ac:dyDescent="0.25">
      <c r="A149" s="230">
        <f>Weather_Site!B159+Weather_Site!C159</f>
        <v>44555.291666666664</v>
      </c>
      <c r="B149">
        <f>Weather_Site!D159</f>
        <v>22.2</v>
      </c>
      <c r="C149">
        <f>Weather_Site!E159</f>
        <v>42.7</v>
      </c>
      <c r="D149">
        <f>Weather_Site!F159</f>
        <v>111</v>
      </c>
      <c r="E149">
        <f>Weather_Site!G159</f>
        <v>10</v>
      </c>
      <c r="F149">
        <f>'Forest(McArthur)'!M156</f>
        <v>7.882539682539683</v>
      </c>
      <c r="G149">
        <f>Grass!$C$4</f>
        <v>85</v>
      </c>
      <c r="H149">
        <v>0</v>
      </c>
    </row>
    <row r="150" spans="1:8" x14ac:dyDescent="0.25">
      <c r="A150" s="230">
        <f>Weather_Site!B160+Weather_Site!C160</f>
        <v>44555.333333333336</v>
      </c>
      <c r="B150">
        <f>Weather_Site!D160</f>
        <v>25.5</v>
      </c>
      <c r="C150">
        <f>Weather_Site!E160</f>
        <v>35.700000000000003</v>
      </c>
      <c r="D150">
        <f>Weather_Site!F160</f>
        <v>98</v>
      </c>
      <c r="E150">
        <f>Weather_Site!G160</f>
        <v>14</v>
      </c>
      <c r="F150">
        <f>'Forest(McArthur)'!M157</f>
        <v>7.882539682539683</v>
      </c>
      <c r="G150">
        <f>Grass!$C$4</f>
        <v>85</v>
      </c>
      <c r="H150">
        <v>0</v>
      </c>
    </row>
    <row r="151" spans="1:8" x14ac:dyDescent="0.25">
      <c r="A151" s="230">
        <f>Weather_Site!B161+Weather_Site!C161</f>
        <v>44555.375</v>
      </c>
      <c r="B151">
        <f>Weather_Site!D161</f>
        <v>28.4</v>
      </c>
      <c r="C151">
        <f>Weather_Site!E161</f>
        <v>31.8</v>
      </c>
      <c r="D151">
        <f>Weather_Site!F161</f>
        <v>79</v>
      </c>
      <c r="E151">
        <f>Weather_Site!G161</f>
        <v>10</v>
      </c>
      <c r="F151">
        <f>'Forest(McArthur)'!M158</f>
        <v>7.882539682539683</v>
      </c>
      <c r="G151">
        <f>Grass!$C$4</f>
        <v>85</v>
      </c>
      <c r="H151">
        <v>0</v>
      </c>
    </row>
    <row r="152" spans="1:8" x14ac:dyDescent="0.25">
      <c r="A152" s="230">
        <f>Weather_Site!B162+Weather_Site!C162</f>
        <v>44555.416666666664</v>
      </c>
      <c r="B152">
        <f>Weather_Site!D162</f>
        <v>31.4</v>
      </c>
      <c r="C152">
        <f>Weather_Site!E162</f>
        <v>24.7</v>
      </c>
      <c r="D152">
        <f>Weather_Site!F162</f>
        <v>61</v>
      </c>
      <c r="E152">
        <f>Weather_Site!G162</f>
        <v>16</v>
      </c>
      <c r="F152">
        <f>'Forest(McArthur)'!M159</f>
        <v>7.882539682539683</v>
      </c>
      <c r="G152">
        <f>Grass!$C$4</f>
        <v>85</v>
      </c>
      <c r="H152">
        <v>0</v>
      </c>
    </row>
    <row r="153" spans="1:8" x14ac:dyDescent="0.25">
      <c r="A153" s="230">
        <f>Weather_Site!B163+Weather_Site!C163</f>
        <v>44555.458333333336</v>
      </c>
      <c r="B153">
        <f>Weather_Site!D163</f>
        <v>33.9</v>
      </c>
      <c r="C153">
        <f>Weather_Site!E163</f>
        <v>20.3</v>
      </c>
      <c r="D153">
        <f>Weather_Site!F163</f>
        <v>56</v>
      </c>
      <c r="E153">
        <f>Weather_Site!G163</f>
        <v>17</v>
      </c>
      <c r="F153">
        <f>'Forest(McArthur)'!M160</f>
        <v>7.882539682539683</v>
      </c>
      <c r="G153">
        <f>Grass!$C$4</f>
        <v>85</v>
      </c>
      <c r="H153">
        <v>0</v>
      </c>
    </row>
    <row r="154" spans="1:8" x14ac:dyDescent="0.25">
      <c r="A154" s="230">
        <f>Weather_Site!B164+Weather_Site!C164</f>
        <v>44555.5</v>
      </c>
      <c r="B154">
        <f>Weather_Site!D164</f>
        <v>35.4</v>
      </c>
      <c r="C154">
        <f>Weather_Site!E164</f>
        <v>18.5</v>
      </c>
      <c r="D154">
        <f>Weather_Site!F164</f>
        <v>90</v>
      </c>
      <c r="E154">
        <f>Weather_Site!G164</f>
        <v>17</v>
      </c>
      <c r="F154">
        <f>'Forest(McArthur)'!M161</f>
        <v>7.882539682539683</v>
      </c>
      <c r="G154">
        <f>Grass!$C$4</f>
        <v>85</v>
      </c>
      <c r="H154">
        <v>0</v>
      </c>
    </row>
    <row r="155" spans="1:8" x14ac:dyDescent="0.25">
      <c r="A155" s="230">
        <f>Weather_Site!B165+Weather_Site!C165</f>
        <v>44555.541666666664</v>
      </c>
      <c r="B155">
        <f>Weather_Site!D165</f>
        <v>36.6</v>
      </c>
      <c r="C155">
        <f>Weather_Site!E165</f>
        <v>16.899999999999999</v>
      </c>
      <c r="D155">
        <f>Weather_Site!F165</f>
        <v>117</v>
      </c>
      <c r="E155">
        <f>Weather_Site!G165</f>
        <v>18</v>
      </c>
      <c r="F155">
        <f>'Forest(McArthur)'!M162</f>
        <v>7.882539682539683</v>
      </c>
      <c r="G155">
        <f>Grass!$C$4</f>
        <v>85</v>
      </c>
      <c r="H155">
        <v>0</v>
      </c>
    </row>
    <row r="156" spans="1:8" x14ac:dyDescent="0.25">
      <c r="A156" s="230">
        <f>Weather_Site!B166+Weather_Site!C166</f>
        <v>44555.583333333336</v>
      </c>
      <c r="B156">
        <f>Weather_Site!D166</f>
        <v>37.6</v>
      </c>
      <c r="C156">
        <f>Weather_Site!E166</f>
        <v>14.9</v>
      </c>
      <c r="D156">
        <f>Weather_Site!F166</f>
        <v>131</v>
      </c>
      <c r="E156">
        <f>Weather_Site!G166</f>
        <v>19</v>
      </c>
      <c r="F156">
        <f>'Forest(McArthur)'!M163</f>
        <v>7.882539682539683</v>
      </c>
      <c r="G156">
        <f>Grass!$C$4</f>
        <v>85</v>
      </c>
      <c r="H156">
        <v>0</v>
      </c>
    </row>
    <row r="157" spans="1:8" x14ac:dyDescent="0.25">
      <c r="A157" s="230">
        <f>Weather_Site!B167+Weather_Site!C167</f>
        <v>44555.625</v>
      </c>
      <c r="B157">
        <f>Weather_Site!D167</f>
        <v>38</v>
      </c>
      <c r="C157">
        <f>Weather_Site!E167</f>
        <v>14.2</v>
      </c>
      <c r="D157">
        <f>Weather_Site!F167</f>
        <v>176</v>
      </c>
      <c r="E157">
        <f>Weather_Site!G167</f>
        <v>17</v>
      </c>
      <c r="F157">
        <f>'Forest(McArthur)'!M164</f>
        <v>7.882539682539683</v>
      </c>
      <c r="G157">
        <f>Grass!$C$4</f>
        <v>85</v>
      </c>
      <c r="H157">
        <v>0</v>
      </c>
    </row>
    <row r="158" spans="1:8" x14ac:dyDescent="0.25">
      <c r="A158" s="230">
        <f>Weather_Site!B168+Weather_Site!C168</f>
        <v>44555.666666666664</v>
      </c>
      <c r="B158">
        <f>Weather_Site!D168</f>
        <v>38.6</v>
      </c>
      <c r="C158">
        <f>Weather_Site!E168</f>
        <v>13.4</v>
      </c>
      <c r="D158">
        <f>Weather_Site!F168</f>
        <v>188</v>
      </c>
      <c r="E158">
        <f>Weather_Site!G168</f>
        <v>18</v>
      </c>
      <c r="F158">
        <f>'Forest(McArthur)'!M165</f>
        <v>7.882539682539683</v>
      </c>
      <c r="G158">
        <f>Grass!$C$4</f>
        <v>85</v>
      </c>
      <c r="H158">
        <v>0</v>
      </c>
    </row>
    <row r="159" spans="1:8" x14ac:dyDescent="0.25">
      <c r="A159" s="230">
        <f>Weather_Site!B169+Weather_Site!C169</f>
        <v>44555.708333333336</v>
      </c>
      <c r="B159">
        <f>Weather_Site!D169</f>
        <v>38.6</v>
      </c>
      <c r="C159">
        <f>Weather_Site!E169</f>
        <v>13.1</v>
      </c>
      <c r="D159">
        <f>Weather_Site!F169</f>
        <v>195</v>
      </c>
      <c r="E159">
        <f>Weather_Site!G169</f>
        <v>17</v>
      </c>
      <c r="F159">
        <f>'Forest(McArthur)'!M166</f>
        <v>7.882539682539683</v>
      </c>
      <c r="G159">
        <f>Grass!$C$4</f>
        <v>85</v>
      </c>
      <c r="H159">
        <v>0</v>
      </c>
    </row>
    <row r="160" spans="1:8" x14ac:dyDescent="0.25">
      <c r="A160" s="230">
        <f>Weather_Site!B170+Weather_Site!C170</f>
        <v>44555.75</v>
      </c>
      <c r="B160">
        <f>Weather_Site!D170</f>
        <v>37.799999999999997</v>
      </c>
      <c r="C160">
        <f>Weather_Site!E170</f>
        <v>13.6</v>
      </c>
      <c r="D160">
        <f>Weather_Site!F170</f>
        <v>191</v>
      </c>
      <c r="E160">
        <f>Weather_Site!G170</f>
        <v>19</v>
      </c>
      <c r="F160">
        <f>'Forest(McArthur)'!M167</f>
        <v>7.882539682539683</v>
      </c>
      <c r="G160">
        <f>Grass!$C$4</f>
        <v>85</v>
      </c>
      <c r="H160">
        <v>0</v>
      </c>
    </row>
    <row r="161" spans="1:8" x14ac:dyDescent="0.25">
      <c r="A161" s="230">
        <f>Weather_Site!B171+Weather_Site!C171</f>
        <v>44555.791666666664</v>
      </c>
      <c r="B161">
        <f>Weather_Site!D171</f>
        <v>37</v>
      </c>
      <c r="C161">
        <f>Weather_Site!E171</f>
        <v>14.3</v>
      </c>
      <c r="D161">
        <f>Weather_Site!F171</f>
        <v>185</v>
      </c>
      <c r="E161">
        <f>Weather_Site!G171</f>
        <v>16</v>
      </c>
      <c r="F161">
        <f>'Forest(McArthur)'!M168</f>
        <v>7.882539682539683</v>
      </c>
      <c r="G161">
        <f>Grass!$C$4</f>
        <v>85</v>
      </c>
      <c r="H161">
        <v>0</v>
      </c>
    </row>
    <row r="162" spans="1:8" x14ac:dyDescent="0.25">
      <c r="A162" s="230">
        <f>Weather_Site!B172+Weather_Site!C172</f>
        <v>44555.833333333336</v>
      </c>
      <c r="B162">
        <f>Weather_Site!D172</f>
        <v>35.4</v>
      </c>
      <c r="C162">
        <f>Weather_Site!E172</f>
        <v>16.3</v>
      </c>
      <c r="D162">
        <f>Weather_Site!F172</f>
        <v>175</v>
      </c>
      <c r="E162">
        <f>Weather_Site!G172</f>
        <v>15</v>
      </c>
      <c r="F162">
        <f>'Forest(McArthur)'!M169</f>
        <v>7.882539682539683</v>
      </c>
      <c r="G162">
        <f>Grass!$C$4</f>
        <v>85</v>
      </c>
      <c r="H162">
        <v>0</v>
      </c>
    </row>
    <row r="163" spans="1:8" x14ac:dyDescent="0.25">
      <c r="A163" s="230">
        <f>Weather_Site!B173+Weather_Site!C173</f>
        <v>44555.875</v>
      </c>
      <c r="B163">
        <f>Weather_Site!D173</f>
        <v>32.799999999999997</v>
      </c>
      <c r="C163">
        <f>Weather_Site!E173</f>
        <v>19.899999999999999</v>
      </c>
      <c r="D163">
        <f>Weather_Site!F173</f>
        <v>175</v>
      </c>
      <c r="E163">
        <f>Weather_Site!G173</f>
        <v>14</v>
      </c>
      <c r="F163">
        <f>'Forest(McArthur)'!M170</f>
        <v>7.882539682539683</v>
      </c>
      <c r="G163">
        <f>Grass!$C$4</f>
        <v>85</v>
      </c>
      <c r="H163">
        <v>0</v>
      </c>
    </row>
    <row r="164" spans="1:8" x14ac:dyDescent="0.25">
      <c r="A164" s="230">
        <f>Weather_Site!B174+Weather_Site!C174</f>
        <v>44555.916666666664</v>
      </c>
      <c r="B164">
        <f>Weather_Site!D174</f>
        <v>30.4</v>
      </c>
      <c r="C164">
        <f>Weather_Site!E174</f>
        <v>23.9</v>
      </c>
      <c r="D164">
        <f>Weather_Site!F174</f>
        <v>155</v>
      </c>
      <c r="E164">
        <f>Weather_Site!G174</f>
        <v>14</v>
      </c>
      <c r="F164">
        <f>'Forest(McArthur)'!M171</f>
        <v>7.882539682539683</v>
      </c>
      <c r="G164">
        <f>Grass!$C$4</f>
        <v>85</v>
      </c>
      <c r="H164">
        <v>0</v>
      </c>
    </row>
    <row r="165" spans="1:8" x14ac:dyDescent="0.25">
      <c r="A165" s="230">
        <f>Weather_Site!B175+Weather_Site!C175</f>
        <v>44555.958333333336</v>
      </c>
      <c r="B165">
        <f>Weather_Site!D175</f>
        <v>28.7</v>
      </c>
      <c r="C165">
        <f>Weather_Site!E175</f>
        <v>27.7</v>
      </c>
      <c r="D165">
        <f>Weather_Site!F175</f>
        <v>152</v>
      </c>
      <c r="E165">
        <f>Weather_Site!G175</f>
        <v>15</v>
      </c>
      <c r="F165">
        <f>'Forest(McArthur)'!M172</f>
        <v>7.882539682539683</v>
      </c>
      <c r="G165">
        <f>Grass!$C$4</f>
        <v>85</v>
      </c>
      <c r="H165">
        <v>0</v>
      </c>
    </row>
    <row r="166" spans="1:8" x14ac:dyDescent="0.25">
      <c r="A166" s="230">
        <f>Weather_Site!B176+Weather_Site!C176</f>
        <v>44556</v>
      </c>
      <c r="B166">
        <f>Weather_Site!D176</f>
        <v>26.9</v>
      </c>
      <c r="C166">
        <f>Weather_Site!E176</f>
        <v>32</v>
      </c>
      <c r="D166">
        <f>Weather_Site!F176</f>
        <v>160</v>
      </c>
      <c r="E166">
        <f>Weather_Site!G176</f>
        <v>14</v>
      </c>
      <c r="F166">
        <f>'Forest(McArthur)'!M173</f>
        <v>7.882539682539683</v>
      </c>
      <c r="G166">
        <f>Grass!$C$4</f>
        <v>85</v>
      </c>
      <c r="H166">
        <v>0</v>
      </c>
    </row>
    <row r="167" spans="1:8" x14ac:dyDescent="0.25">
      <c r="A167" s="230">
        <f>Weather_Site!B177+Weather_Site!C177</f>
        <v>44556.041666666664</v>
      </c>
      <c r="B167">
        <f>Weather_Site!D177</f>
        <v>25.2</v>
      </c>
      <c r="C167">
        <f>Weather_Site!E177</f>
        <v>35.4</v>
      </c>
      <c r="D167">
        <f>Weather_Site!F177</f>
        <v>190</v>
      </c>
      <c r="E167">
        <f>Weather_Site!G177</f>
        <v>15</v>
      </c>
      <c r="F167">
        <f>'Forest(McArthur)'!M174</f>
        <v>7.882539682539683</v>
      </c>
      <c r="G167">
        <f>Grass!$C$4</f>
        <v>85</v>
      </c>
      <c r="H167">
        <v>0</v>
      </c>
    </row>
    <row r="168" spans="1:8" x14ac:dyDescent="0.25">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5">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5">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5">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5">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5">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5">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5">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5">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5">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5">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5">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5">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5">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5">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5">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5">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5">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5">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5">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5">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5">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5">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5">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5">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5">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5">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5">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5">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5">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5">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5">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5">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5">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2022-02-25T02:36:51Z</dcterms:modified>
</cp:coreProperties>
</file>