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\Desktop\박태건\6. 영업지원\8. 소매매출이익\저장소복합단가\2609\"/>
    </mc:Choice>
  </mc:AlternateContent>
  <xr:revisionPtr revIDLastSave="5" documentId="11_A2433D05F3F7EEA2306FCB8ABBD55F101A67680F" xr6:coauthVersionLast="47" xr6:coauthVersionMax="47" xr10:uidLastSave="{DF88BCBE-20C3-4F28-8E65-FB6363A65C19}"/>
  <bookViews>
    <workbookView xWindow="0" yWindow="0" windowWidth="28800" windowHeight="12285" tabRatio="866" firstSheet="175" activeTab="175" xr2:uid="{00000000-000D-0000-FFFF-FFFF00000000}"/>
  </bookViews>
  <sheets>
    <sheet name="1203" sheetId="2969" r:id="rId1"/>
    <sheet name="1211" sheetId="2970" r:id="rId2"/>
    <sheet name="1212" sheetId="2971" r:id="rId3"/>
    <sheet name="1215" sheetId="2972" r:id="rId4"/>
    <sheet name="1222" sheetId="2973" r:id="rId5"/>
    <sheet name="1224" sheetId="2974" r:id="rId6"/>
    <sheet name="1226" sheetId="2975" r:id="rId7"/>
    <sheet name="1229" sheetId="2976" r:id="rId8"/>
    <sheet name="1231" sheetId="2977" r:id="rId9"/>
    <sheet name="0102" sheetId="2978" r:id="rId10"/>
    <sheet name="0105" sheetId="2979" r:id="rId11"/>
    <sheet name="0107" sheetId="2980" r:id="rId12"/>
    <sheet name="0109" sheetId="2981" r:id="rId13"/>
    <sheet name="0119" sheetId="2982" r:id="rId14"/>
    <sheet name="0120" sheetId="2983" r:id="rId15"/>
    <sheet name="0122" sheetId="2984" r:id="rId16"/>
    <sheet name="0127" sheetId="2985" r:id="rId17"/>
    <sheet name="0128" sheetId="2986" r:id="rId18"/>
    <sheet name="0129" sheetId="2987" r:id="rId19"/>
    <sheet name="0130" sheetId="2988" r:id="rId20"/>
    <sheet name="0131" sheetId="2989" r:id="rId21"/>
    <sheet name="0203" sheetId="2990" r:id="rId22"/>
    <sheet name="0205" sheetId="2991" r:id="rId23"/>
    <sheet name="0206" sheetId="2992" r:id="rId24"/>
    <sheet name="0209" sheetId="2993" r:id="rId25"/>
    <sheet name="0210 (입고)" sheetId="2994" r:id="rId26"/>
    <sheet name="0211" sheetId="2996" r:id="rId27"/>
    <sheet name="0211 (입고)" sheetId="3009" r:id="rId28"/>
    <sheet name="0212" sheetId="2997" r:id="rId29"/>
    <sheet name="0214 (입고)" sheetId="2998" r:id="rId30"/>
    <sheet name="0219" sheetId="2999" r:id="rId31"/>
    <sheet name="0223" sheetId="3000" r:id="rId32"/>
    <sheet name="0224" sheetId="3001" r:id="rId33"/>
    <sheet name="0225" sheetId="3002" r:id="rId34"/>
    <sheet name="0226" sheetId="3003" r:id="rId35"/>
    <sheet name="0227 (입고)" sheetId="3004" r:id="rId36"/>
    <sheet name="0228 (입고)" sheetId="3005" r:id="rId37"/>
    <sheet name="0304 (입고)" sheetId="3006" r:id="rId38"/>
    <sheet name="0304" sheetId="3011" r:id="rId39"/>
    <sheet name="0305" sheetId="3012" r:id="rId40"/>
    <sheet name="0306" sheetId="3013" r:id="rId41"/>
    <sheet name="0311" sheetId="3014" r:id="rId42"/>
    <sheet name="0312" sheetId="3015" r:id="rId43"/>
    <sheet name="0314 (입고)" sheetId="3016" r:id="rId44"/>
    <sheet name="0316" sheetId="3017" r:id="rId45"/>
    <sheet name="0317 (입고)" sheetId="3018" r:id="rId46"/>
    <sheet name="0318 (입고)" sheetId="3020" r:id="rId47"/>
    <sheet name="0318" sheetId="3019" r:id="rId48"/>
    <sheet name="0319" sheetId="3021" r:id="rId49"/>
    <sheet name="0319 (입고)" sheetId="3024" r:id="rId50"/>
    <sheet name="0320 (입고)" sheetId="3025" r:id="rId51"/>
    <sheet name="0323 (입고)" sheetId="3026" r:id="rId52"/>
    <sheet name="0325 (입고)" sheetId="3027" r:id="rId53"/>
    <sheet name="0325" sheetId="3028" r:id="rId54"/>
    <sheet name="0326 (입고)" sheetId="3029" r:id="rId55"/>
    <sheet name="0326" sheetId="3030" r:id="rId56"/>
    <sheet name="0328" sheetId="3031" r:id="rId57"/>
    <sheet name="0330" sheetId="3032" r:id="rId58"/>
    <sheet name="0331" sheetId="3033" r:id="rId59"/>
    <sheet name="0402 (입고)" sheetId="3034" r:id="rId60"/>
    <sheet name="0402" sheetId="3037" r:id="rId61"/>
    <sheet name="0403 (입고)" sheetId="3038" r:id="rId62"/>
    <sheet name="0403" sheetId="3039" r:id="rId63"/>
    <sheet name="0404 (입고)" sheetId="3040" r:id="rId64"/>
    <sheet name="0404" sheetId="3041" r:id="rId65"/>
    <sheet name="0405" sheetId="3042" r:id="rId66"/>
    <sheet name="0406 (입고)" sheetId="3076" r:id="rId67"/>
    <sheet name="0406" sheetId="3043" r:id="rId68"/>
    <sheet name="0407 (입고)" sheetId="3045" r:id="rId69"/>
    <sheet name="0407" sheetId="3044" r:id="rId70"/>
    <sheet name="0408 (입고)" sheetId="3046" r:id="rId71"/>
    <sheet name="0408" sheetId="3047" r:id="rId72"/>
    <sheet name="0409" sheetId="3048" r:id="rId73"/>
    <sheet name="0414" sheetId="3049" r:id="rId74"/>
    <sheet name="0415" sheetId="3050" r:id="rId75"/>
    <sheet name="0416" sheetId="3051" r:id="rId76"/>
    <sheet name="0417" sheetId="3053" r:id="rId77"/>
    <sheet name="0421 (입고)" sheetId="3062" r:id="rId78"/>
    <sheet name="0422 (입고)" sheetId="3063" r:id="rId79"/>
    <sheet name="0423" sheetId="3064" r:id="rId80"/>
    <sheet name="0424" sheetId="3065" r:id="rId81"/>
    <sheet name="0428" sheetId="3066" r:id="rId82"/>
    <sheet name="0430" sheetId="3067" r:id="rId83"/>
    <sheet name="0501 (입고)" sheetId="3077" r:id="rId84"/>
    <sheet name="0501" sheetId="3078" r:id="rId85"/>
    <sheet name="0502 (입고)" sheetId="3079" r:id="rId86"/>
    <sheet name="0502" sheetId="3080" r:id="rId87"/>
    <sheet name="0505 (입고)" sheetId="3081" r:id="rId88"/>
    <sheet name="0505" sheetId="3093" r:id="rId89"/>
    <sheet name="0506 (입고)" sheetId="3082" r:id="rId90"/>
    <sheet name="0507 (입고)" sheetId="3083" r:id="rId91"/>
    <sheet name="0507" sheetId="3084" r:id="rId92"/>
    <sheet name="0508" sheetId="3085" r:id="rId93"/>
    <sheet name="0511" sheetId="3086" r:id="rId94"/>
    <sheet name="0512" sheetId="3087" r:id="rId95"/>
    <sheet name="0513 (입고)" sheetId="3088" r:id="rId96"/>
    <sheet name="0513" sheetId="3089" r:id="rId97"/>
    <sheet name="0514" sheetId="3092" r:id="rId98"/>
    <sheet name="0515 (입고)" sheetId="3094" r:id="rId99"/>
    <sheet name="0515" sheetId="3095" r:id="rId100"/>
    <sheet name="0516 (정제입고)" sheetId="3096" r:id="rId101"/>
    <sheet name="0517 (입고)" sheetId="3097" r:id="rId102"/>
    <sheet name="0517" sheetId="3098" r:id="rId103"/>
    <sheet name="0519 (입고)" sheetId="3102" r:id="rId104"/>
    <sheet name="0519" sheetId="3103" r:id="rId105"/>
    <sheet name="0522" sheetId="3104" r:id="rId106"/>
    <sheet name="0527" sheetId="3105" r:id="rId107"/>
    <sheet name="0528" sheetId="3106" r:id="rId108"/>
    <sheet name="0601 (기초)" sheetId="3126" r:id="rId109"/>
    <sheet name="0601" sheetId="3123" r:id="rId110"/>
    <sheet name="0602" sheetId="3107" r:id="rId111"/>
    <sheet name="0604 (입고)" sheetId="3108" r:id="rId112"/>
    <sheet name="0604" sheetId="3109" r:id="rId113"/>
    <sheet name="0605 (입고)" sheetId="3110" r:id="rId114"/>
    <sheet name="0605" sheetId="3111" r:id="rId115"/>
    <sheet name="0609 (입고)" sheetId="3112" r:id="rId116"/>
    <sheet name="0609" sheetId="3113" r:id="rId117"/>
    <sheet name="0612 (입고)" sheetId="3114" r:id="rId118"/>
    <sheet name="0612" sheetId="3115" r:id="rId119"/>
    <sheet name="0613 (입고)" sheetId="3116" r:id="rId120"/>
    <sheet name="0613" sheetId="3117" r:id="rId121"/>
    <sheet name="0616" sheetId="3118" r:id="rId122"/>
    <sheet name="0618 (입고)" sheetId="3120" r:id="rId123"/>
    <sheet name="0618" sheetId="3119" r:id="rId124"/>
    <sheet name="0619" sheetId="3121" r:id="rId125"/>
    <sheet name="0623" sheetId="3122" r:id="rId126"/>
    <sheet name="0630" sheetId="3124" r:id="rId127"/>
    <sheet name="0701 (기초)" sheetId="3127" r:id="rId128"/>
    <sheet name="0701" sheetId="3125" r:id="rId129"/>
    <sheet name="0708" sheetId="3128" r:id="rId130"/>
    <sheet name="0714 (입고)" sheetId="3129" r:id="rId131"/>
    <sheet name="0714" sheetId="3130" r:id="rId132"/>
    <sheet name="0715 (입고)" sheetId="3131" r:id="rId133"/>
    <sheet name="0715" sheetId="3132" r:id="rId134"/>
    <sheet name="0716 (입고)" sheetId="3133" r:id="rId135"/>
    <sheet name="0716" sheetId="3134" r:id="rId136"/>
    <sheet name="0717 (입고)" sheetId="3135" r:id="rId137"/>
    <sheet name="0718 (입고)" sheetId="3136" r:id="rId138"/>
    <sheet name="0720 (입고)" sheetId="3137" r:id="rId139"/>
    <sheet name="0721 (입고)" sheetId="3138" r:id="rId140"/>
    <sheet name="0721" sheetId="3139" r:id="rId141"/>
    <sheet name="0722" sheetId="3140" r:id="rId142"/>
    <sheet name="0723 (입고)" sheetId="3141" r:id="rId143"/>
    <sheet name="0723" sheetId="3142" r:id="rId144"/>
    <sheet name="0724 (입고)" sheetId="3143" r:id="rId145"/>
    <sheet name="0724" sheetId="3144" r:id="rId146"/>
    <sheet name="0729 (신광)" sheetId="3147" r:id="rId147"/>
    <sheet name="0729" sheetId="3145" r:id="rId148"/>
    <sheet name="0730" sheetId="3146" r:id="rId149"/>
    <sheet name="0731 (입고)" sheetId="3148" r:id="rId150"/>
    <sheet name="08월 기초 &lt;0826 (입고)&gt;" sheetId="3169" r:id="rId151"/>
    <sheet name="0803" sheetId="3149" r:id="rId152"/>
    <sheet name="0807" sheetId="3150" r:id="rId153"/>
    <sheet name="0808" sheetId="3151" r:id="rId154"/>
    <sheet name="0810" sheetId="3152" r:id="rId155"/>
    <sheet name="0811" sheetId="3153" r:id="rId156"/>
    <sheet name="0812" sheetId="3154" r:id="rId157"/>
    <sheet name="0813" sheetId="3155" r:id="rId158"/>
    <sheet name="0814 (입고)" sheetId="3156" r:id="rId159"/>
    <sheet name="0814" sheetId="3157" r:id="rId160"/>
    <sheet name="0815 (입고)" sheetId="3159" r:id="rId161"/>
    <sheet name="0815" sheetId="3158" r:id="rId162"/>
    <sheet name="0818 (입고)" sheetId="3174" r:id="rId163"/>
    <sheet name="0818" sheetId="3160" r:id="rId164"/>
    <sheet name="0819 (입고)" sheetId="3161" r:id="rId165"/>
    <sheet name="0819" sheetId="3162" r:id="rId166"/>
    <sheet name="0820 (입고)" sheetId="3164" r:id="rId167"/>
    <sheet name="0820" sheetId="3163" r:id="rId168"/>
    <sheet name="0821" sheetId="3165" r:id="rId169"/>
    <sheet name="0822" sheetId="3166" r:id="rId170"/>
    <sheet name="0824 (입고)" sheetId="3168" r:id="rId171"/>
    <sheet name="0824" sheetId="3167" r:id="rId172"/>
    <sheet name="0826" sheetId="3170" r:id="rId173"/>
    <sheet name="0828" sheetId="3171" r:id="rId174"/>
    <sheet name="0831 (입고)" sheetId="3172" r:id="rId175"/>
    <sheet name="0904" sheetId="3175" r:id="rId176"/>
  </sheets>
  <definedNames>
    <definedName name="_xlnm.Print_Area" localSheetId="9">'0102'!$B$1:$P$44</definedName>
    <definedName name="_xlnm.Print_Area" localSheetId="10">'0105'!$B$1:$P$44</definedName>
    <definedName name="_xlnm.Print_Area" localSheetId="11">'0107'!$B$1:$P$44</definedName>
    <definedName name="_xlnm.Print_Area" localSheetId="12">'0109'!$B$1:$P$44</definedName>
    <definedName name="_xlnm.Print_Area" localSheetId="13">'0119'!$B$1:$P$44</definedName>
    <definedName name="_xlnm.Print_Area" localSheetId="14">'0120'!$B$1:$P$44</definedName>
    <definedName name="_xlnm.Print_Area" localSheetId="15">'0122'!$B$1:$P$44</definedName>
    <definedName name="_xlnm.Print_Area" localSheetId="16">'0127'!$B$1:$P$44</definedName>
    <definedName name="_xlnm.Print_Area" localSheetId="17">'0128'!$B$1:$P$44</definedName>
    <definedName name="_xlnm.Print_Area" localSheetId="18">'0129'!$B$1:$P$44</definedName>
    <definedName name="_xlnm.Print_Area" localSheetId="19">'0130'!$B$1:$P$44</definedName>
    <definedName name="_xlnm.Print_Area" localSheetId="20">'0131'!$B$1:$P$44</definedName>
    <definedName name="_xlnm.Print_Area" localSheetId="21">'0203'!$B$1:$P$44</definedName>
    <definedName name="_xlnm.Print_Area" localSheetId="22">'0205'!$B$1:$P$44</definedName>
    <definedName name="_xlnm.Print_Area" localSheetId="23">'0206'!$B$1:$P$44</definedName>
    <definedName name="_xlnm.Print_Area" localSheetId="24">'0209'!$B$1:$P$44</definedName>
    <definedName name="_xlnm.Print_Area" localSheetId="25">'0210 (입고)'!$B$1:$P$44</definedName>
    <definedName name="_xlnm.Print_Area" localSheetId="26">'0211'!$B$1:$P$44</definedName>
    <definedName name="_xlnm.Print_Area" localSheetId="27">'0211 (입고)'!$B$1:$P$44</definedName>
    <definedName name="_xlnm.Print_Area" localSheetId="28">'0212'!$B$1:$P$44</definedName>
    <definedName name="_xlnm.Print_Area" localSheetId="29">'0214 (입고)'!$B$1:$P$44</definedName>
    <definedName name="_xlnm.Print_Area" localSheetId="30">'0219'!$B$1:$P$44</definedName>
    <definedName name="_xlnm.Print_Area" localSheetId="31">'0223'!$B$1:$P$44</definedName>
    <definedName name="_xlnm.Print_Area" localSheetId="32">'0224'!$B$1:$P$44</definedName>
    <definedName name="_xlnm.Print_Area" localSheetId="33">'0225'!$B$1:$P$44</definedName>
    <definedName name="_xlnm.Print_Area" localSheetId="34">'0226'!$B$1:$P$44</definedName>
    <definedName name="_xlnm.Print_Area" localSheetId="35">'0227 (입고)'!$B$1:$P$44</definedName>
    <definedName name="_xlnm.Print_Area" localSheetId="36">'0228 (입고)'!$B$1:$P$44</definedName>
    <definedName name="_xlnm.Print_Area" localSheetId="38">'0304'!$B$1:$P$44</definedName>
    <definedName name="_xlnm.Print_Area" localSheetId="37">'0304 (입고)'!$B$1:$P$44</definedName>
    <definedName name="_xlnm.Print_Area" localSheetId="39">'0305'!$B$1:$P$44</definedName>
    <definedName name="_xlnm.Print_Area" localSheetId="40">'0306'!$B$1:$P$44</definedName>
    <definedName name="_xlnm.Print_Area" localSheetId="41">'0311'!$B$1:$P$44</definedName>
    <definedName name="_xlnm.Print_Area" localSheetId="42">'0312'!$B$1:$P$44</definedName>
    <definedName name="_xlnm.Print_Area" localSheetId="43">'0314 (입고)'!$B$1:$P$44</definedName>
    <definedName name="_xlnm.Print_Area" localSheetId="44">'0316'!$B$1:$P$44</definedName>
    <definedName name="_xlnm.Print_Area" localSheetId="45">'0317 (입고)'!$B$1:$P$44</definedName>
    <definedName name="_xlnm.Print_Area" localSheetId="47">'0318'!$B$1:$P$44</definedName>
    <definedName name="_xlnm.Print_Area" localSheetId="46">'0318 (입고)'!$B$1:$P$44</definedName>
    <definedName name="_xlnm.Print_Area" localSheetId="48">'0319'!$B$1:$P$44</definedName>
    <definedName name="_xlnm.Print_Area" localSheetId="49">'0319 (입고)'!$B$1:$P$44</definedName>
    <definedName name="_xlnm.Print_Area" localSheetId="50">'0320 (입고)'!$B$1:$P$44</definedName>
    <definedName name="_xlnm.Print_Area" localSheetId="51">'0323 (입고)'!$B$1:$P$44</definedName>
    <definedName name="_xlnm.Print_Area" localSheetId="53">'0325'!$B$1:$P$44</definedName>
    <definedName name="_xlnm.Print_Area" localSheetId="52">'0325 (입고)'!$B$1:$P$44</definedName>
    <definedName name="_xlnm.Print_Area" localSheetId="55">'0326'!$B$1:$P$44</definedName>
    <definedName name="_xlnm.Print_Area" localSheetId="54">'0326 (입고)'!$B$1:$P$44</definedName>
    <definedName name="_xlnm.Print_Area" localSheetId="56">'0328'!$B$1:$P$44</definedName>
    <definedName name="_xlnm.Print_Area" localSheetId="57">'0330'!$B$1:$P$44</definedName>
    <definedName name="_xlnm.Print_Area" localSheetId="58">'0331'!$B$1:$P$44</definedName>
    <definedName name="_xlnm.Print_Area" localSheetId="60">'0402'!$B$1:$P$44</definedName>
    <definedName name="_xlnm.Print_Area" localSheetId="59">'0402 (입고)'!$B$1:$P$44</definedName>
    <definedName name="_xlnm.Print_Area" localSheetId="62">'0403'!$B$1:$P$44</definedName>
    <definedName name="_xlnm.Print_Area" localSheetId="61">'0403 (입고)'!$B$1:$P$44</definedName>
    <definedName name="_xlnm.Print_Area" localSheetId="64">'0404'!$B$1:$P$44</definedName>
    <definedName name="_xlnm.Print_Area" localSheetId="63">'0404 (입고)'!$B$1:$P$44</definedName>
    <definedName name="_xlnm.Print_Area" localSheetId="65">'0405'!$B$1:$P$44</definedName>
    <definedName name="_xlnm.Print_Area" localSheetId="67">'0406'!$B$1:$P$44</definedName>
    <definedName name="_xlnm.Print_Area" localSheetId="66">'0406 (입고)'!$B$1:$P$44</definedName>
    <definedName name="_xlnm.Print_Area" localSheetId="69">'0407'!$B$1:$P$44</definedName>
    <definedName name="_xlnm.Print_Area" localSheetId="68">'0407 (입고)'!$B$1:$P$44</definedName>
    <definedName name="_xlnm.Print_Area" localSheetId="71">'0408'!$B$1:$P$44</definedName>
    <definedName name="_xlnm.Print_Area" localSheetId="70">'0408 (입고)'!$B$1:$P$44</definedName>
    <definedName name="_xlnm.Print_Area" localSheetId="72">'0409'!$B$1:$P$44</definedName>
    <definedName name="_xlnm.Print_Area" localSheetId="73">'0414'!$B$1:$P$44</definedName>
    <definedName name="_xlnm.Print_Area" localSheetId="74">'0415'!$B$1:$P$44</definedName>
    <definedName name="_xlnm.Print_Area" localSheetId="75">'0416'!$B$1:$P$44</definedName>
    <definedName name="_xlnm.Print_Area" localSheetId="76">'0417'!$B$1:$P$44</definedName>
    <definedName name="_xlnm.Print_Area" localSheetId="77">'0421 (입고)'!$B$1:$P$44</definedName>
    <definedName name="_xlnm.Print_Area" localSheetId="78">'0422 (입고)'!$B$1:$P$44</definedName>
    <definedName name="_xlnm.Print_Area" localSheetId="79">'0423'!$B$1:$P$44</definedName>
    <definedName name="_xlnm.Print_Area" localSheetId="80">'0424'!$B$1:$P$44</definedName>
    <definedName name="_xlnm.Print_Area" localSheetId="81">'0428'!$B$1:$P$44</definedName>
    <definedName name="_xlnm.Print_Area" localSheetId="82">'0430'!$B$1:$P$44</definedName>
    <definedName name="_xlnm.Print_Area" localSheetId="84">'0501'!$B$1:$P$44</definedName>
    <definedName name="_xlnm.Print_Area" localSheetId="83">'0501 (입고)'!$B$1:$P$44</definedName>
    <definedName name="_xlnm.Print_Area" localSheetId="86">'0502'!$B$1:$P$44</definedName>
    <definedName name="_xlnm.Print_Area" localSheetId="85">'0502 (입고)'!$B$1:$P$44</definedName>
    <definedName name="_xlnm.Print_Area" localSheetId="88">'0505'!$B$1:$P$44</definedName>
    <definedName name="_xlnm.Print_Area" localSheetId="87">'0505 (입고)'!$B$1:$P$44</definedName>
    <definedName name="_xlnm.Print_Area" localSheetId="89">'0506 (입고)'!$B$1:$P$44</definedName>
    <definedName name="_xlnm.Print_Area" localSheetId="91">'0507'!$B$1:$P$44</definedName>
    <definedName name="_xlnm.Print_Area" localSheetId="90">'0507 (입고)'!$B$1:$P$44</definedName>
    <definedName name="_xlnm.Print_Area" localSheetId="92">'0508'!$B$1:$P$44</definedName>
    <definedName name="_xlnm.Print_Area" localSheetId="93">'0511'!$B$1:$P$44</definedName>
    <definedName name="_xlnm.Print_Area" localSheetId="94">'0512'!$B$1:$P$44</definedName>
    <definedName name="_xlnm.Print_Area" localSheetId="96">'0513'!$B$1:$P$44</definedName>
    <definedName name="_xlnm.Print_Area" localSheetId="95">'0513 (입고)'!$B$1:$P$44</definedName>
    <definedName name="_xlnm.Print_Area" localSheetId="97">'0514'!$B$1:$P$44</definedName>
    <definedName name="_xlnm.Print_Area" localSheetId="99">'0515'!$B$1:$P$44</definedName>
    <definedName name="_xlnm.Print_Area" localSheetId="98">'0515 (입고)'!$B$1:$P$44</definedName>
    <definedName name="_xlnm.Print_Area" localSheetId="100">'0516 (정제입고)'!$B$1:$P$44</definedName>
    <definedName name="_xlnm.Print_Area" localSheetId="102">'0517'!$B$1:$P$44</definedName>
    <definedName name="_xlnm.Print_Area" localSheetId="101">'0517 (입고)'!$B$1:$P$44</definedName>
    <definedName name="_xlnm.Print_Area" localSheetId="104">'0519'!$B$1:$P$44</definedName>
    <definedName name="_xlnm.Print_Area" localSheetId="103">'0519 (입고)'!$B$1:$P$44</definedName>
    <definedName name="_xlnm.Print_Area" localSheetId="105">'0522'!$B$1:$P$44</definedName>
    <definedName name="_xlnm.Print_Area" localSheetId="106">'0527'!$B$1:$P$44</definedName>
    <definedName name="_xlnm.Print_Area" localSheetId="107">'0528'!$B$1:$P$44</definedName>
    <definedName name="_xlnm.Print_Area" localSheetId="109">'0601'!$B$1:$P$44</definedName>
    <definedName name="_xlnm.Print_Area" localSheetId="108">'0601 (기초)'!$B$1:$P$44</definedName>
    <definedName name="_xlnm.Print_Area" localSheetId="110">'0602'!$B$1:$P$44</definedName>
    <definedName name="_xlnm.Print_Area" localSheetId="112">'0604'!$B$1:$P$44</definedName>
    <definedName name="_xlnm.Print_Area" localSheetId="111">'0604 (입고)'!$B$1:$P$44</definedName>
    <definedName name="_xlnm.Print_Area" localSheetId="114">'0605'!$B$1:$P$44</definedName>
    <definedName name="_xlnm.Print_Area" localSheetId="113">'0605 (입고)'!$B$1:$P$44</definedName>
    <definedName name="_xlnm.Print_Area" localSheetId="116">'0609'!$B$1:$P$44</definedName>
    <definedName name="_xlnm.Print_Area" localSheetId="115">'0609 (입고)'!$B$1:$P$44</definedName>
    <definedName name="_xlnm.Print_Area" localSheetId="118">'0612'!$B$1:$P$44</definedName>
    <definedName name="_xlnm.Print_Area" localSheetId="117">'0612 (입고)'!$B$1:$P$44</definedName>
    <definedName name="_xlnm.Print_Area" localSheetId="120">'0613'!$B$1:$P$44</definedName>
    <definedName name="_xlnm.Print_Area" localSheetId="119">'0613 (입고)'!$B$1:$P$44</definedName>
    <definedName name="_xlnm.Print_Area" localSheetId="121">'0616'!$B$1:$P$44</definedName>
    <definedName name="_xlnm.Print_Area" localSheetId="123">'0618'!$B$1:$P$44</definedName>
    <definedName name="_xlnm.Print_Area" localSheetId="122">'0618 (입고)'!$B$1:$P$44</definedName>
    <definedName name="_xlnm.Print_Area" localSheetId="124">'0619'!$B$1:$P$44</definedName>
    <definedName name="_xlnm.Print_Area" localSheetId="125">'0623'!$B$1:$P$44</definedName>
    <definedName name="_xlnm.Print_Area" localSheetId="126">'0630'!$B$1:$P$44</definedName>
    <definedName name="_xlnm.Print_Area" localSheetId="128">'0701'!$B$1:$P$44</definedName>
    <definedName name="_xlnm.Print_Area" localSheetId="127">'0701 (기초)'!$B$1:$P$44</definedName>
    <definedName name="_xlnm.Print_Area" localSheetId="129">'0708'!$B$1:$P$44</definedName>
    <definedName name="_xlnm.Print_Area" localSheetId="131">'0714'!$B$1:$P$44</definedName>
    <definedName name="_xlnm.Print_Area" localSheetId="130">'0714 (입고)'!$B$1:$P$44</definedName>
    <definedName name="_xlnm.Print_Area" localSheetId="133">'0715'!$B$1:$P$44</definedName>
    <definedName name="_xlnm.Print_Area" localSheetId="132">'0715 (입고)'!$B$1:$P$44</definedName>
    <definedName name="_xlnm.Print_Area" localSheetId="135">'0716'!$B$1:$P$44</definedName>
    <definedName name="_xlnm.Print_Area" localSheetId="134">'0716 (입고)'!$B$1:$P$44</definedName>
    <definedName name="_xlnm.Print_Area" localSheetId="136">'0717 (입고)'!$B$1:$P$44</definedName>
    <definedName name="_xlnm.Print_Area" localSheetId="137">'0718 (입고)'!$B$1:$P$44</definedName>
    <definedName name="_xlnm.Print_Area" localSheetId="138">'0720 (입고)'!$B$1:$P$44</definedName>
    <definedName name="_xlnm.Print_Area" localSheetId="140">'0721'!$B$1:$P$44</definedName>
    <definedName name="_xlnm.Print_Area" localSheetId="139">'0721 (입고)'!$B$1:$P$44</definedName>
    <definedName name="_xlnm.Print_Area" localSheetId="141">'0722'!$B$1:$P$44</definedName>
    <definedName name="_xlnm.Print_Area" localSheetId="143">'0723'!$B$1:$P$44</definedName>
    <definedName name="_xlnm.Print_Area" localSheetId="142">'0723 (입고)'!$B$1:$P$44</definedName>
    <definedName name="_xlnm.Print_Area" localSheetId="145">'0724'!$B$1:$P$44</definedName>
    <definedName name="_xlnm.Print_Area" localSheetId="144">'0724 (입고)'!$B$1:$P$44</definedName>
    <definedName name="_xlnm.Print_Area" localSheetId="147">'0729'!$B$1:$P$44</definedName>
    <definedName name="_xlnm.Print_Area" localSheetId="146">'0729 (신광)'!$B$1:$P$44</definedName>
    <definedName name="_xlnm.Print_Area" localSheetId="148">'0730'!$B$1:$P$44</definedName>
    <definedName name="_xlnm.Print_Area" localSheetId="149">'0731 (입고)'!$B$1:$P$44</definedName>
    <definedName name="_xlnm.Print_Area" localSheetId="151">'0803'!$B$1:$P$44</definedName>
    <definedName name="_xlnm.Print_Area" localSheetId="152">'0807'!$B$1:$P$44</definedName>
    <definedName name="_xlnm.Print_Area" localSheetId="153">'0808'!$B$1:$P$44</definedName>
    <definedName name="_xlnm.Print_Area" localSheetId="154">'0810'!$B$1:$P$44</definedName>
    <definedName name="_xlnm.Print_Area" localSheetId="155">'0811'!$B$1:$P$44</definedName>
    <definedName name="_xlnm.Print_Area" localSheetId="156">'0812'!$B$1:$P$44</definedName>
    <definedName name="_xlnm.Print_Area" localSheetId="157">'0813'!$B$1:$P$44</definedName>
    <definedName name="_xlnm.Print_Area" localSheetId="159">'0814'!$B$1:$P$44</definedName>
    <definedName name="_xlnm.Print_Area" localSheetId="158">'0814 (입고)'!$B$1:$P$44</definedName>
    <definedName name="_xlnm.Print_Area" localSheetId="161">'0815'!$B$1:$P$44</definedName>
    <definedName name="_xlnm.Print_Area" localSheetId="160">'0815 (입고)'!$B$1:$P$44</definedName>
    <definedName name="_xlnm.Print_Area" localSheetId="163">'0818'!$B$1:$P$44</definedName>
    <definedName name="_xlnm.Print_Area" localSheetId="162">'0818 (입고)'!$B$1:$P$44</definedName>
    <definedName name="_xlnm.Print_Area" localSheetId="165">'0819'!$B$1:$P$44</definedName>
    <definedName name="_xlnm.Print_Area" localSheetId="164">'0819 (입고)'!$B$1:$P$44</definedName>
    <definedName name="_xlnm.Print_Area" localSheetId="167">'0820'!$B$1:$P$44</definedName>
    <definedName name="_xlnm.Print_Area" localSheetId="166">'0820 (입고)'!$B$1:$P$44</definedName>
    <definedName name="_xlnm.Print_Area" localSheetId="168">'0821'!$B$1:$P$44</definedName>
    <definedName name="_xlnm.Print_Area" localSheetId="169">'0822'!$B$1:$P$44</definedName>
    <definedName name="_xlnm.Print_Area" localSheetId="171">'0824'!$B$1:$P$44</definedName>
    <definedName name="_xlnm.Print_Area" localSheetId="170">'0824 (입고)'!$B$1:$P$44</definedName>
    <definedName name="_xlnm.Print_Area" localSheetId="172">'0826'!$B$1:$P$44</definedName>
    <definedName name="_xlnm.Print_Area" localSheetId="173">'0828'!$B$1:$P$44</definedName>
    <definedName name="_xlnm.Print_Area" localSheetId="174">'0831 (입고)'!$B$1:$P$44</definedName>
    <definedName name="_xlnm.Print_Area" localSheetId="150">'08월 기초 &lt;0826 (입고)&gt;'!$B$1:$P$44</definedName>
    <definedName name="_xlnm.Print_Area" localSheetId="175">'0904'!$B$1:$P$44</definedName>
    <definedName name="_xlnm.Print_Area" localSheetId="0">'1203'!$B$1:$P$44</definedName>
    <definedName name="_xlnm.Print_Area" localSheetId="1">'1211'!$B$1:$P$44</definedName>
    <definedName name="_xlnm.Print_Area" localSheetId="2">'1212'!$B$1:$P$44</definedName>
    <definedName name="_xlnm.Print_Area" localSheetId="3">'1215'!$B$1:$P$44</definedName>
    <definedName name="_xlnm.Print_Area" localSheetId="4">'1222'!$B$1:$P$44</definedName>
    <definedName name="_xlnm.Print_Area" localSheetId="5">'1224'!$B$1:$P$44</definedName>
    <definedName name="_xlnm.Print_Area" localSheetId="6">'1226'!$B$1:$P$44</definedName>
    <definedName name="_xlnm.Print_Area" localSheetId="7">'1229'!$B$1:$P$44</definedName>
    <definedName name="_xlnm.Print_Area" localSheetId="8">'1231'!$B$1:$P$44</definedName>
    <definedName name="_xlnm.Print_Titles" localSheetId="9">'0102'!$1:$3</definedName>
    <definedName name="_xlnm.Print_Titles" localSheetId="10">'0105'!$1:$3</definedName>
    <definedName name="_xlnm.Print_Titles" localSheetId="11">'0107'!$1:$3</definedName>
    <definedName name="_xlnm.Print_Titles" localSheetId="12">'0109'!$1:$3</definedName>
    <definedName name="_xlnm.Print_Titles" localSheetId="13">'0119'!$1:$3</definedName>
    <definedName name="_xlnm.Print_Titles" localSheetId="14">'0120'!$1:$3</definedName>
    <definedName name="_xlnm.Print_Titles" localSheetId="15">'0122'!$1:$3</definedName>
    <definedName name="_xlnm.Print_Titles" localSheetId="16">'0127'!$1:$3</definedName>
    <definedName name="_xlnm.Print_Titles" localSheetId="17">'0128'!$1:$3</definedName>
    <definedName name="_xlnm.Print_Titles" localSheetId="18">'0129'!$1:$3</definedName>
    <definedName name="_xlnm.Print_Titles" localSheetId="19">'0130'!$1:$3</definedName>
    <definedName name="_xlnm.Print_Titles" localSheetId="20">'0131'!$1:$3</definedName>
    <definedName name="_xlnm.Print_Titles" localSheetId="21">'0203'!$1:$3</definedName>
    <definedName name="_xlnm.Print_Titles" localSheetId="22">'0205'!$1:$3</definedName>
    <definedName name="_xlnm.Print_Titles" localSheetId="23">'0206'!$1:$3</definedName>
    <definedName name="_xlnm.Print_Titles" localSheetId="24">'0209'!$1:$3</definedName>
    <definedName name="_xlnm.Print_Titles" localSheetId="25">'0210 (입고)'!$1:$3</definedName>
    <definedName name="_xlnm.Print_Titles" localSheetId="26">'0211'!$1:$3</definedName>
    <definedName name="_xlnm.Print_Titles" localSheetId="27">'0211 (입고)'!$1:$3</definedName>
    <definedName name="_xlnm.Print_Titles" localSheetId="28">'0212'!$1:$3</definedName>
    <definedName name="_xlnm.Print_Titles" localSheetId="29">'0214 (입고)'!$1:$3</definedName>
    <definedName name="_xlnm.Print_Titles" localSheetId="30">'0219'!$1:$3</definedName>
    <definedName name="_xlnm.Print_Titles" localSheetId="31">'0223'!$1:$3</definedName>
    <definedName name="_xlnm.Print_Titles" localSheetId="32">'0224'!$1:$3</definedName>
    <definedName name="_xlnm.Print_Titles" localSheetId="33">'0225'!$1:$3</definedName>
    <definedName name="_xlnm.Print_Titles" localSheetId="34">'0226'!$1:$3</definedName>
    <definedName name="_xlnm.Print_Titles" localSheetId="35">'0227 (입고)'!$1:$3</definedName>
    <definedName name="_xlnm.Print_Titles" localSheetId="36">'0228 (입고)'!$1:$3</definedName>
    <definedName name="_xlnm.Print_Titles" localSheetId="38">'0304'!$1:$3</definedName>
    <definedName name="_xlnm.Print_Titles" localSheetId="37">'0304 (입고)'!$1:$3</definedName>
    <definedName name="_xlnm.Print_Titles" localSheetId="39">'0305'!$1:$3</definedName>
    <definedName name="_xlnm.Print_Titles" localSheetId="40">'0306'!$1:$3</definedName>
    <definedName name="_xlnm.Print_Titles" localSheetId="41">'0311'!$1:$3</definedName>
    <definedName name="_xlnm.Print_Titles" localSheetId="42">'0312'!$1:$3</definedName>
    <definedName name="_xlnm.Print_Titles" localSheetId="43">'0314 (입고)'!$1:$3</definedName>
    <definedName name="_xlnm.Print_Titles" localSheetId="44">'0316'!$1:$3</definedName>
    <definedName name="_xlnm.Print_Titles" localSheetId="45">'0317 (입고)'!$1:$3</definedName>
    <definedName name="_xlnm.Print_Titles" localSheetId="47">'0318'!$1:$3</definedName>
    <definedName name="_xlnm.Print_Titles" localSheetId="46">'0318 (입고)'!$1:$3</definedName>
    <definedName name="_xlnm.Print_Titles" localSheetId="48">'0319'!$1:$3</definedName>
    <definedName name="_xlnm.Print_Titles" localSheetId="49">'0319 (입고)'!$1:$3</definedName>
    <definedName name="_xlnm.Print_Titles" localSheetId="50">'0320 (입고)'!$1:$3</definedName>
    <definedName name="_xlnm.Print_Titles" localSheetId="51">'0323 (입고)'!$1:$3</definedName>
    <definedName name="_xlnm.Print_Titles" localSheetId="53">'0325'!$1:$3</definedName>
    <definedName name="_xlnm.Print_Titles" localSheetId="52">'0325 (입고)'!$1:$3</definedName>
    <definedName name="_xlnm.Print_Titles" localSheetId="55">'0326'!$1:$3</definedName>
    <definedName name="_xlnm.Print_Titles" localSheetId="54">'0326 (입고)'!$1:$3</definedName>
    <definedName name="_xlnm.Print_Titles" localSheetId="56">'0328'!$1:$3</definedName>
    <definedName name="_xlnm.Print_Titles" localSheetId="57">'0330'!$1:$3</definedName>
    <definedName name="_xlnm.Print_Titles" localSheetId="58">'0331'!$1:$3</definedName>
    <definedName name="_xlnm.Print_Titles" localSheetId="60">'0402'!$1:$3</definedName>
    <definedName name="_xlnm.Print_Titles" localSheetId="59">'0402 (입고)'!$1:$3</definedName>
    <definedName name="_xlnm.Print_Titles" localSheetId="62">'0403'!$1:$3</definedName>
    <definedName name="_xlnm.Print_Titles" localSheetId="61">'0403 (입고)'!$1:$3</definedName>
    <definedName name="_xlnm.Print_Titles" localSheetId="64">'0404'!$1:$3</definedName>
    <definedName name="_xlnm.Print_Titles" localSheetId="63">'0404 (입고)'!$1:$3</definedName>
    <definedName name="_xlnm.Print_Titles" localSheetId="65">'0405'!$1:$3</definedName>
    <definedName name="_xlnm.Print_Titles" localSheetId="67">'0406'!$1:$3</definedName>
    <definedName name="_xlnm.Print_Titles" localSheetId="66">'0406 (입고)'!$1:$3</definedName>
    <definedName name="_xlnm.Print_Titles" localSheetId="69">'0407'!$1:$3</definedName>
    <definedName name="_xlnm.Print_Titles" localSheetId="68">'0407 (입고)'!$1:$3</definedName>
    <definedName name="_xlnm.Print_Titles" localSheetId="71">'0408'!$1:$3</definedName>
    <definedName name="_xlnm.Print_Titles" localSheetId="70">'0408 (입고)'!$1:$3</definedName>
    <definedName name="_xlnm.Print_Titles" localSheetId="72">'0409'!$1:$3</definedName>
    <definedName name="_xlnm.Print_Titles" localSheetId="73">'0414'!$1:$3</definedName>
    <definedName name="_xlnm.Print_Titles" localSheetId="74">'0415'!$1:$3</definedName>
    <definedName name="_xlnm.Print_Titles" localSheetId="75">'0416'!$1:$3</definedName>
    <definedName name="_xlnm.Print_Titles" localSheetId="76">'0417'!$1:$3</definedName>
    <definedName name="_xlnm.Print_Titles" localSheetId="77">'0421 (입고)'!$1:$3</definedName>
    <definedName name="_xlnm.Print_Titles" localSheetId="78">'0422 (입고)'!$1:$3</definedName>
    <definedName name="_xlnm.Print_Titles" localSheetId="79">'0423'!$1:$3</definedName>
    <definedName name="_xlnm.Print_Titles" localSheetId="80">'0424'!$1:$3</definedName>
    <definedName name="_xlnm.Print_Titles" localSheetId="81">'0428'!$1:$3</definedName>
    <definedName name="_xlnm.Print_Titles" localSheetId="82">'0430'!$1:$3</definedName>
    <definedName name="_xlnm.Print_Titles" localSheetId="84">'0501'!$1:$3</definedName>
    <definedName name="_xlnm.Print_Titles" localSheetId="83">'0501 (입고)'!$1:$3</definedName>
    <definedName name="_xlnm.Print_Titles" localSheetId="86">'0502'!$1:$3</definedName>
    <definedName name="_xlnm.Print_Titles" localSheetId="85">'0502 (입고)'!$1:$3</definedName>
    <definedName name="_xlnm.Print_Titles" localSheetId="88">'0505'!$1:$3</definedName>
    <definedName name="_xlnm.Print_Titles" localSheetId="87">'0505 (입고)'!$1:$3</definedName>
    <definedName name="_xlnm.Print_Titles" localSheetId="89">'0506 (입고)'!$1:$3</definedName>
    <definedName name="_xlnm.Print_Titles" localSheetId="91">'0507'!$1:$3</definedName>
    <definedName name="_xlnm.Print_Titles" localSheetId="90">'0507 (입고)'!$1:$3</definedName>
    <definedName name="_xlnm.Print_Titles" localSheetId="92">'0508'!$1:$3</definedName>
    <definedName name="_xlnm.Print_Titles" localSheetId="93">'0511'!$1:$3</definedName>
    <definedName name="_xlnm.Print_Titles" localSheetId="94">'0512'!$1:$3</definedName>
    <definedName name="_xlnm.Print_Titles" localSheetId="96">'0513'!$1:$3</definedName>
    <definedName name="_xlnm.Print_Titles" localSheetId="95">'0513 (입고)'!$1:$3</definedName>
    <definedName name="_xlnm.Print_Titles" localSheetId="97">'0514'!$1:$3</definedName>
    <definedName name="_xlnm.Print_Titles" localSheetId="99">'0515'!$1:$3</definedName>
    <definedName name="_xlnm.Print_Titles" localSheetId="98">'0515 (입고)'!$1:$3</definedName>
    <definedName name="_xlnm.Print_Titles" localSheetId="100">'0516 (정제입고)'!$1:$3</definedName>
    <definedName name="_xlnm.Print_Titles" localSheetId="102">'0517'!$1:$3</definedName>
    <definedName name="_xlnm.Print_Titles" localSheetId="101">'0517 (입고)'!$1:$3</definedName>
    <definedName name="_xlnm.Print_Titles" localSheetId="104">'0519'!$1:$3</definedName>
    <definedName name="_xlnm.Print_Titles" localSheetId="103">'0519 (입고)'!$1:$3</definedName>
    <definedName name="_xlnm.Print_Titles" localSheetId="105">'0522'!$1:$3</definedName>
    <definedName name="_xlnm.Print_Titles" localSheetId="106">'0527'!$1:$3</definedName>
    <definedName name="_xlnm.Print_Titles" localSheetId="107">'0528'!$1:$3</definedName>
    <definedName name="_xlnm.Print_Titles" localSheetId="109">'0601'!$1:$3</definedName>
    <definedName name="_xlnm.Print_Titles" localSheetId="108">'0601 (기초)'!$1:$3</definedName>
    <definedName name="_xlnm.Print_Titles" localSheetId="110">'0602'!$1:$3</definedName>
    <definedName name="_xlnm.Print_Titles" localSheetId="112">'0604'!$1:$3</definedName>
    <definedName name="_xlnm.Print_Titles" localSheetId="111">'0604 (입고)'!$1:$3</definedName>
    <definedName name="_xlnm.Print_Titles" localSheetId="114">'0605'!$1:$3</definedName>
    <definedName name="_xlnm.Print_Titles" localSheetId="113">'0605 (입고)'!$1:$3</definedName>
    <definedName name="_xlnm.Print_Titles" localSheetId="116">'0609'!$1:$3</definedName>
    <definedName name="_xlnm.Print_Titles" localSheetId="115">'0609 (입고)'!$1:$3</definedName>
    <definedName name="_xlnm.Print_Titles" localSheetId="118">'0612'!$1:$3</definedName>
    <definedName name="_xlnm.Print_Titles" localSheetId="117">'0612 (입고)'!$1:$3</definedName>
    <definedName name="_xlnm.Print_Titles" localSheetId="120">'0613'!$1:$3</definedName>
    <definedName name="_xlnm.Print_Titles" localSheetId="119">'0613 (입고)'!$1:$3</definedName>
    <definedName name="_xlnm.Print_Titles" localSheetId="121">'0616'!$1:$3</definedName>
    <definedName name="_xlnm.Print_Titles" localSheetId="123">'0618'!$1:$3</definedName>
    <definedName name="_xlnm.Print_Titles" localSheetId="122">'0618 (입고)'!$1:$3</definedName>
    <definedName name="_xlnm.Print_Titles" localSheetId="124">'0619'!$1:$3</definedName>
    <definedName name="_xlnm.Print_Titles" localSheetId="125">'0623'!$1:$3</definedName>
    <definedName name="_xlnm.Print_Titles" localSheetId="126">'0630'!$1:$3</definedName>
    <definedName name="_xlnm.Print_Titles" localSheetId="128">'0701'!$1:$3</definedName>
    <definedName name="_xlnm.Print_Titles" localSheetId="127">'0701 (기초)'!$1:$3</definedName>
    <definedName name="_xlnm.Print_Titles" localSheetId="129">'0708'!$1:$3</definedName>
    <definedName name="_xlnm.Print_Titles" localSheetId="131">'0714'!$1:$3</definedName>
    <definedName name="_xlnm.Print_Titles" localSheetId="130">'0714 (입고)'!$1:$3</definedName>
    <definedName name="_xlnm.Print_Titles" localSheetId="133">'0715'!$1:$3</definedName>
    <definedName name="_xlnm.Print_Titles" localSheetId="132">'0715 (입고)'!$1:$3</definedName>
    <definedName name="_xlnm.Print_Titles" localSheetId="135">'0716'!$1:$3</definedName>
    <definedName name="_xlnm.Print_Titles" localSheetId="134">'0716 (입고)'!$1:$3</definedName>
    <definedName name="_xlnm.Print_Titles" localSheetId="136">'0717 (입고)'!$1:$3</definedName>
    <definedName name="_xlnm.Print_Titles" localSheetId="137">'0718 (입고)'!$1:$3</definedName>
    <definedName name="_xlnm.Print_Titles" localSheetId="138">'0720 (입고)'!$1:$3</definedName>
    <definedName name="_xlnm.Print_Titles" localSheetId="140">'0721'!$1:$3</definedName>
    <definedName name="_xlnm.Print_Titles" localSheetId="139">'0721 (입고)'!$1:$3</definedName>
    <definedName name="_xlnm.Print_Titles" localSheetId="141">'0722'!$1:$3</definedName>
    <definedName name="_xlnm.Print_Titles" localSheetId="143">'0723'!$1:$3</definedName>
    <definedName name="_xlnm.Print_Titles" localSheetId="142">'0723 (입고)'!$1:$3</definedName>
    <definedName name="_xlnm.Print_Titles" localSheetId="145">'0724'!$1:$3</definedName>
    <definedName name="_xlnm.Print_Titles" localSheetId="144">'0724 (입고)'!$1:$3</definedName>
    <definedName name="_xlnm.Print_Titles" localSheetId="147">'0729'!$1:$3</definedName>
    <definedName name="_xlnm.Print_Titles" localSheetId="146">'0729 (신광)'!$1:$3</definedName>
    <definedName name="_xlnm.Print_Titles" localSheetId="148">'0730'!$1:$3</definedName>
    <definedName name="_xlnm.Print_Titles" localSheetId="149">'0731 (입고)'!$1:$3</definedName>
    <definedName name="_xlnm.Print_Titles" localSheetId="151">'0803'!$1:$3</definedName>
    <definedName name="_xlnm.Print_Titles" localSheetId="152">'0807'!$1:$3</definedName>
    <definedName name="_xlnm.Print_Titles" localSheetId="153">'0808'!$1:$3</definedName>
    <definedName name="_xlnm.Print_Titles" localSheetId="154">'0810'!$1:$3</definedName>
    <definedName name="_xlnm.Print_Titles" localSheetId="155">'0811'!$1:$3</definedName>
    <definedName name="_xlnm.Print_Titles" localSheetId="156">'0812'!$1:$3</definedName>
    <definedName name="_xlnm.Print_Titles" localSheetId="157">'0813'!$1:$3</definedName>
    <definedName name="_xlnm.Print_Titles" localSheetId="159">'0814'!$1:$3</definedName>
    <definedName name="_xlnm.Print_Titles" localSheetId="158">'0814 (입고)'!$1:$3</definedName>
    <definedName name="_xlnm.Print_Titles" localSheetId="161">'0815'!$1:$3</definedName>
    <definedName name="_xlnm.Print_Titles" localSheetId="160">'0815 (입고)'!$1:$3</definedName>
    <definedName name="_xlnm.Print_Titles" localSheetId="163">'0818'!$1:$3</definedName>
    <definedName name="_xlnm.Print_Titles" localSheetId="162">'0818 (입고)'!$1:$3</definedName>
    <definedName name="_xlnm.Print_Titles" localSheetId="165">'0819'!$1:$3</definedName>
    <definedName name="_xlnm.Print_Titles" localSheetId="164">'0819 (입고)'!$1:$3</definedName>
    <definedName name="_xlnm.Print_Titles" localSheetId="167">'0820'!$1:$3</definedName>
    <definedName name="_xlnm.Print_Titles" localSheetId="166">'0820 (입고)'!$1:$3</definedName>
    <definedName name="_xlnm.Print_Titles" localSheetId="168">'0821'!$1:$3</definedName>
    <definedName name="_xlnm.Print_Titles" localSheetId="169">'0822'!$1:$3</definedName>
    <definedName name="_xlnm.Print_Titles" localSheetId="171">'0824'!$1:$3</definedName>
    <definedName name="_xlnm.Print_Titles" localSheetId="170">'0824 (입고)'!$1:$3</definedName>
    <definedName name="_xlnm.Print_Titles" localSheetId="172">'0826'!$1:$3</definedName>
    <definedName name="_xlnm.Print_Titles" localSheetId="173">'0828'!$1:$3</definedName>
    <definedName name="_xlnm.Print_Titles" localSheetId="174">'0831 (입고)'!$1:$3</definedName>
    <definedName name="_xlnm.Print_Titles" localSheetId="150">'08월 기초 &lt;0826 (입고)&gt;'!$1:$3</definedName>
    <definedName name="_xlnm.Print_Titles" localSheetId="175">'0904'!$1:$3</definedName>
    <definedName name="_xlnm.Print_Titles" localSheetId="0">'1203'!$1:$3</definedName>
    <definedName name="_xlnm.Print_Titles" localSheetId="1">'1211'!$1:$3</definedName>
    <definedName name="_xlnm.Print_Titles" localSheetId="2">'1212'!$1:$3</definedName>
    <definedName name="_xlnm.Print_Titles" localSheetId="3">'1215'!$1:$3</definedName>
    <definedName name="_xlnm.Print_Titles" localSheetId="4">'1222'!$1:$3</definedName>
    <definedName name="_xlnm.Print_Titles" localSheetId="5">'1224'!$1:$3</definedName>
    <definedName name="_xlnm.Print_Titles" localSheetId="6">'1226'!$1:$3</definedName>
    <definedName name="_xlnm.Print_Titles" localSheetId="7">'1229'!$1:$3</definedName>
    <definedName name="_xlnm.Print_Titles" localSheetId="8">'1231'!$1:$3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175" l="1"/>
  <c r="F43" i="3175"/>
  <c r="R38" i="3175"/>
  <c r="O30" i="3175"/>
  <c r="O29" i="3175"/>
  <c r="L23" i="3175"/>
  <c r="H44" i="3175" s="1"/>
  <c r="D23" i="3175"/>
  <c r="H43" i="3175" s="1"/>
  <c r="P22" i="3175"/>
  <c r="O22" i="3175"/>
  <c r="N22" i="3175"/>
  <c r="H22" i="3175"/>
  <c r="G22" i="3175"/>
  <c r="F22" i="3175"/>
  <c r="P21" i="3175"/>
  <c r="O21" i="3175"/>
  <c r="N21" i="3175"/>
  <c r="H21" i="3175"/>
  <c r="G21" i="3175"/>
  <c r="F21" i="3175"/>
  <c r="P20" i="3175"/>
  <c r="O20" i="3175"/>
  <c r="N20" i="3175"/>
  <c r="H20" i="3175"/>
  <c r="G20" i="3175"/>
  <c r="F20" i="3175"/>
  <c r="P19" i="3175"/>
  <c r="O19" i="3175"/>
  <c r="N19" i="3175"/>
  <c r="H19" i="3175"/>
  <c r="G19" i="3175"/>
  <c r="F19" i="3175"/>
  <c r="P18" i="3175"/>
  <c r="O18" i="3175"/>
  <c r="N18" i="3175"/>
  <c r="H18" i="3175"/>
  <c r="G18" i="3175"/>
  <c r="F18" i="3175"/>
  <c r="P17" i="3175"/>
  <c r="O17" i="3175"/>
  <c r="N17" i="3175"/>
  <c r="H17" i="3175"/>
  <c r="G17" i="3175"/>
  <c r="F17" i="3175"/>
  <c r="H16" i="3175"/>
  <c r="H23" i="3175" s="1"/>
  <c r="G16" i="3175"/>
  <c r="F16" i="3175"/>
  <c r="G9" i="3175"/>
  <c r="E29" i="3175" s="1"/>
  <c r="E9" i="3175"/>
  <c r="C29" i="3175" s="1"/>
  <c r="G29" i="3175" l="1"/>
  <c r="E36" i="3175" s="1"/>
  <c r="C36" i="3175"/>
  <c r="C43" i="3175"/>
  <c r="K43" i="3175" s="1"/>
  <c r="M43" i="3175" s="1"/>
  <c r="G9" i="3169"/>
  <c r="E9" i="3169"/>
  <c r="K30" i="3159"/>
  <c r="F44" i="3174"/>
  <c r="F43" i="3174"/>
  <c r="R38" i="3174"/>
  <c r="O30" i="3174"/>
  <c r="O29" i="3174"/>
  <c r="L23" i="3174"/>
  <c r="H44" i="3174" s="1"/>
  <c r="D23" i="3174"/>
  <c r="H43" i="3174" s="1"/>
  <c r="P22" i="3174"/>
  <c r="O22" i="3174"/>
  <c r="N22" i="3174"/>
  <c r="H22" i="3174"/>
  <c r="G22" i="3174"/>
  <c r="F22" i="3174"/>
  <c r="P21" i="3174"/>
  <c r="O21" i="3174"/>
  <c r="N21" i="3174"/>
  <c r="H21" i="3174"/>
  <c r="G21" i="3174"/>
  <c r="F21" i="3174"/>
  <c r="P20" i="3174"/>
  <c r="O20" i="3174"/>
  <c r="N20" i="3174"/>
  <c r="H20" i="3174"/>
  <c r="G20" i="3174"/>
  <c r="F20" i="3174"/>
  <c r="P19" i="3174"/>
  <c r="O19" i="3174"/>
  <c r="N19" i="3174"/>
  <c r="H19" i="3174"/>
  <c r="G19" i="3174"/>
  <c r="F19" i="3174"/>
  <c r="P18" i="3174"/>
  <c r="O18" i="3174"/>
  <c r="N18" i="3174"/>
  <c r="H18" i="3174"/>
  <c r="G18" i="3174"/>
  <c r="F18" i="3174"/>
  <c r="P17" i="3174"/>
  <c r="O17" i="3174"/>
  <c r="N17" i="3174"/>
  <c r="H17" i="3174"/>
  <c r="G17" i="3174"/>
  <c r="F17" i="3174"/>
  <c r="P16" i="3174"/>
  <c r="O16" i="3174"/>
  <c r="N16" i="3174"/>
  <c r="H16" i="3174"/>
  <c r="H23" i="3174" s="1"/>
  <c r="G16" i="3174"/>
  <c r="F16" i="3174"/>
  <c r="G9" i="3174"/>
  <c r="E29" i="3174" s="1"/>
  <c r="E9" i="3174"/>
  <c r="C29" i="3174" s="1"/>
  <c r="G36" i="3175" l="1"/>
  <c r="N43" i="3175" s="1"/>
  <c r="P23" i="3174"/>
  <c r="G29" i="3174"/>
  <c r="E36" i="3174" s="1"/>
  <c r="C36" i="3174"/>
  <c r="C43" i="3174"/>
  <c r="K43" i="3174" s="1"/>
  <c r="M43" i="3174" s="1"/>
  <c r="F44" i="3172"/>
  <c r="F43" i="3172"/>
  <c r="R38" i="3172"/>
  <c r="O30" i="3172"/>
  <c r="O29" i="3172"/>
  <c r="L23" i="3172"/>
  <c r="H44" i="3172" s="1"/>
  <c r="D23" i="3172"/>
  <c r="H43" i="3172" s="1"/>
  <c r="P22" i="3172"/>
  <c r="O22" i="3172"/>
  <c r="N22" i="3172"/>
  <c r="H22" i="3172"/>
  <c r="G22" i="3172"/>
  <c r="F22" i="3172"/>
  <c r="P21" i="3172"/>
  <c r="O21" i="3172"/>
  <c r="N21" i="3172"/>
  <c r="H21" i="3172"/>
  <c r="G21" i="3172"/>
  <c r="F21" i="3172"/>
  <c r="P20" i="3172"/>
  <c r="O20" i="3172"/>
  <c r="N20" i="3172"/>
  <c r="H20" i="3172"/>
  <c r="G20" i="3172"/>
  <c r="F20" i="3172"/>
  <c r="P19" i="3172"/>
  <c r="O19" i="3172"/>
  <c r="N19" i="3172"/>
  <c r="H19" i="3172"/>
  <c r="G19" i="3172"/>
  <c r="F19" i="3172"/>
  <c r="P18" i="3172"/>
  <c r="O18" i="3172"/>
  <c r="N18" i="3172"/>
  <c r="H18" i="3172"/>
  <c r="G18" i="3172"/>
  <c r="F18" i="3172"/>
  <c r="P17" i="3172"/>
  <c r="O17" i="3172"/>
  <c r="N17" i="3172"/>
  <c r="H17" i="3172"/>
  <c r="G17" i="3172"/>
  <c r="F17" i="3172"/>
  <c r="H16" i="3172"/>
  <c r="H23" i="3172" s="1"/>
  <c r="G16" i="3172"/>
  <c r="F16" i="3172"/>
  <c r="G9" i="3172"/>
  <c r="E29" i="3172" s="1"/>
  <c r="E9" i="3172"/>
  <c r="R38" i="3171"/>
  <c r="F44" i="3171"/>
  <c r="F43" i="3171"/>
  <c r="O30" i="3171"/>
  <c r="O29" i="3171"/>
  <c r="L23" i="3171"/>
  <c r="H44" i="3171" s="1"/>
  <c r="D23" i="3171"/>
  <c r="H43" i="3171" s="1"/>
  <c r="P22" i="3171"/>
  <c r="O22" i="3171"/>
  <c r="N22" i="3171"/>
  <c r="H22" i="3171"/>
  <c r="G22" i="3171"/>
  <c r="F22" i="3171"/>
  <c r="P21" i="3171"/>
  <c r="O21" i="3171"/>
  <c r="N21" i="3171"/>
  <c r="H21" i="3171"/>
  <c r="G21" i="3171"/>
  <c r="F21" i="3171"/>
  <c r="P20" i="3171"/>
  <c r="O20" i="3171"/>
  <c r="N20" i="3171"/>
  <c r="H20" i="3171"/>
  <c r="G20" i="3171"/>
  <c r="F20" i="3171"/>
  <c r="P19" i="3171"/>
  <c r="O19" i="3171"/>
  <c r="N19" i="3171"/>
  <c r="H19" i="3171"/>
  <c r="G19" i="3171"/>
  <c r="F19" i="3171"/>
  <c r="P18" i="3171"/>
  <c r="O18" i="3171"/>
  <c r="N18" i="3171"/>
  <c r="H18" i="3171"/>
  <c r="G18" i="3171"/>
  <c r="F18" i="3171"/>
  <c r="P17" i="3171"/>
  <c r="O17" i="3171"/>
  <c r="N17" i="3171"/>
  <c r="H17" i="3171"/>
  <c r="G17" i="3171"/>
  <c r="F17" i="3171"/>
  <c r="H16" i="3171"/>
  <c r="H23" i="3171" s="1"/>
  <c r="G16" i="3171"/>
  <c r="F16" i="3171"/>
  <c r="G9" i="3171"/>
  <c r="E29" i="3171" s="1"/>
  <c r="E9" i="3171"/>
  <c r="R38" i="3170"/>
  <c r="F44" i="3170"/>
  <c r="F43" i="3170"/>
  <c r="O30" i="3170"/>
  <c r="O29" i="3170"/>
  <c r="L23" i="3170"/>
  <c r="H44" i="3170" s="1"/>
  <c r="D23" i="3170"/>
  <c r="H43" i="3170" s="1"/>
  <c r="P22" i="3170"/>
  <c r="O22" i="3170"/>
  <c r="N22" i="3170"/>
  <c r="H22" i="3170"/>
  <c r="G22" i="3170"/>
  <c r="F22" i="3170"/>
  <c r="P21" i="3170"/>
  <c r="O21" i="3170"/>
  <c r="N21" i="3170"/>
  <c r="H21" i="3170"/>
  <c r="G21" i="3170"/>
  <c r="F21" i="3170"/>
  <c r="P20" i="3170"/>
  <c r="O20" i="3170"/>
  <c r="N20" i="3170"/>
  <c r="H20" i="3170"/>
  <c r="G20" i="3170"/>
  <c r="F20" i="3170"/>
  <c r="P19" i="3170"/>
  <c r="O19" i="3170"/>
  <c r="N19" i="3170"/>
  <c r="H19" i="3170"/>
  <c r="G19" i="3170"/>
  <c r="F19" i="3170"/>
  <c r="P18" i="3170"/>
  <c r="O18" i="3170"/>
  <c r="N18" i="3170"/>
  <c r="H18" i="3170"/>
  <c r="G18" i="3170"/>
  <c r="F18" i="3170"/>
  <c r="P17" i="3170"/>
  <c r="O17" i="3170"/>
  <c r="N17" i="3170"/>
  <c r="H17" i="3170"/>
  <c r="G17" i="3170"/>
  <c r="F17" i="3170"/>
  <c r="H16" i="3170"/>
  <c r="H23" i="3170" s="1"/>
  <c r="G16" i="3170"/>
  <c r="F16" i="3170"/>
  <c r="G9" i="3170"/>
  <c r="E29" i="3170" s="1"/>
  <c r="E9" i="3170"/>
  <c r="F43" i="3169"/>
  <c r="O29" i="3169"/>
  <c r="L23" i="3169"/>
  <c r="H44" i="3169" s="1"/>
  <c r="D23" i="3169"/>
  <c r="H43" i="3169" s="1"/>
  <c r="P22" i="3169"/>
  <c r="O22" i="3169"/>
  <c r="N22" i="3169"/>
  <c r="H22" i="3169"/>
  <c r="G22" i="3169"/>
  <c r="F22" i="3169"/>
  <c r="P21" i="3169"/>
  <c r="O21" i="3169"/>
  <c r="N21" i="3169"/>
  <c r="H21" i="3169"/>
  <c r="G21" i="3169"/>
  <c r="F21" i="3169"/>
  <c r="P20" i="3169"/>
  <c r="O20" i="3169"/>
  <c r="N20" i="3169"/>
  <c r="H20" i="3169"/>
  <c r="G20" i="3169"/>
  <c r="F20" i="3169"/>
  <c r="P19" i="3169"/>
  <c r="O19" i="3169"/>
  <c r="N19" i="3169"/>
  <c r="H19" i="3169"/>
  <c r="G19" i="3169"/>
  <c r="F19" i="3169"/>
  <c r="P18" i="3169"/>
  <c r="O18" i="3169"/>
  <c r="N18" i="3169"/>
  <c r="H18" i="3169"/>
  <c r="G18" i="3169"/>
  <c r="F18" i="3169"/>
  <c r="P17" i="3169"/>
  <c r="O17" i="3169"/>
  <c r="N17" i="3169"/>
  <c r="H17" i="3169"/>
  <c r="G17" i="3169"/>
  <c r="F17" i="3169"/>
  <c r="P16" i="3169"/>
  <c r="O16" i="3169"/>
  <c r="N16" i="3169"/>
  <c r="H16" i="3169"/>
  <c r="H23" i="3169" s="1"/>
  <c r="G16" i="3169"/>
  <c r="F16" i="3169"/>
  <c r="E29" i="3169"/>
  <c r="K30" i="3148"/>
  <c r="K30" i="3156"/>
  <c r="F44" i="3168"/>
  <c r="F43" i="3168"/>
  <c r="R38" i="3168"/>
  <c r="O30" i="3168"/>
  <c r="O29" i="3168"/>
  <c r="L23" i="3168"/>
  <c r="H44" i="3168" s="1"/>
  <c r="D23" i="3168"/>
  <c r="H43" i="3168" s="1"/>
  <c r="P22" i="3168"/>
  <c r="O22" i="3168"/>
  <c r="N22" i="3168"/>
  <c r="H22" i="3168"/>
  <c r="G22" i="3168"/>
  <c r="F22" i="3168"/>
  <c r="P21" i="3168"/>
  <c r="O21" i="3168"/>
  <c r="N21" i="3168"/>
  <c r="H21" i="3168"/>
  <c r="G21" i="3168"/>
  <c r="F21" i="3168"/>
  <c r="P20" i="3168"/>
  <c r="O20" i="3168"/>
  <c r="N20" i="3168"/>
  <c r="H20" i="3168"/>
  <c r="G20" i="3168"/>
  <c r="F20" i="3168"/>
  <c r="P19" i="3168"/>
  <c r="O19" i="3168"/>
  <c r="N19" i="3168"/>
  <c r="H19" i="3168"/>
  <c r="G19" i="3168"/>
  <c r="F19" i="3168"/>
  <c r="P18" i="3168"/>
  <c r="O18" i="3168"/>
  <c r="N18" i="3168"/>
  <c r="H18" i="3168"/>
  <c r="G18" i="3168"/>
  <c r="F18" i="3168"/>
  <c r="P17" i="3168"/>
  <c r="O17" i="3168"/>
  <c r="N17" i="3168"/>
  <c r="H17" i="3168"/>
  <c r="G17" i="3168"/>
  <c r="F17" i="3168"/>
  <c r="P16" i="3168"/>
  <c r="O16" i="3168"/>
  <c r="N16" i="3168"/>
  <c r="H16" i="3168"/>
  <c r="H23" i="3168" s="1"/>
  <c r="G16" i="3168"/>
  <c r="F16" i="3168"/>
  <c r="G9" i="3168"/>
  <c r="E29" i="3168" s="1"/>
  <c r="E9" i="3168"/>
  <c r="F44" i="3167"/>
  <c r="F43" i="3167"/>
  <c r="R38" i="3167"/>
  <c r="O30" i="3167"/>
  <c r="O29" i="3167"/>
  <c r="L23" i="3167"/>
  <c r="H44" i="3167" s="1"/>
  <c r="D23" i="3167"/>
  <c r="H43" i="3167" s="1"/>
  <c r="P22" i="3167"/>
  <c r="O22" i="3167"/>
  <c r="N22" i="3167"/>
  <c r="H22" i="3167"/>
  <c r="G22" i="3167"/>
  <c r="F22" i="3167"/>
  <c r="P21" i="3167"/>
  <c r="O21" i="3167"/>
  <c r="N21" i="3167"/>
  <c r="H21" i="3167"/>
  <c r="G21" i="3167"/>
  <c r="F21" i="3167"/>
  <c r="P20" i="3167"/>
  <c r="O20" i="3167"/>
  <c r="N20" i="3167"/>
  <c r="H20" i="3167"/>
  <c r="G20" i="3167"/>
  <c r="F20" i="3167"/>
  <c r="P19" i="3167"/>
  <c r="O19" i="3167"/>
  <c r="N19" i="3167"/>
  <c r="H19" i="3167"/>
  <c r="G19" i="3167"/>
  <c r="F19" i="3167"/>
  <c r="P18" i="3167"/>
  <c r="O18" i="3167"/>
  <c r="N18" i="3167"/>
  <c r="H18" i="3167"/>
  <c r="G18" i="3167"/>
  <c r="F18" i="3167"/>
  <c r="H17" i="3167"/>
  <c r="G17" i="3167"/>
  <c r="F17" i="3167"/>
  <c r="H16" i="3167"/>
  <c r="H23" i="3167" s="1"/>
  <c r="G16" i="3167"/>
  <c r="F16" i="3167"/>
  <c r="G9" i="3167"/>
  <c r="E29" i="3167" s="1"/>
  <c r="E9" i="3167"/>
  <c r="F44" i="3166"/>
  <c r="F43" i="3166"/>
  <c r="R38" i="3166"/>
  <c r="O30" i="3166"/>
  <c r="O29" i="3166"/>
  <c r="L23" i="3166"/>
  <c r="H44" i="3166" s="1"/>
  <c r="D23" i="3166"/>
  <c r="H43" i="3166" s="1"/>
  <c r="P22" i="3166"/>
  <c r="O22" i="3166"/>
  <c r="N22" i="3166"/>
  <c r="H22" i="3166"/>
  <c r="G22" i="3166"/>
  <c r="F22" i="3166"/>
  <c r="P21" i="3166"/>
  <c r="O21" i="3166"/>
  <c r="N21" i="3166"/>
  <c r="H21" i="3166"/>
  <c r="G21" i="3166"/>
  <c r="F21" i="3166"/>
  <c r="P20" i="3166"/>
  <c r="O20" i="3166"/>
  <c r="N20" i="3166"/>
  <c r="H20" i="3166"/>
  <c r="G20" i="3166"/>
  <c r="F20" i="3166"/>
  <c r="H19" i="3166"/>
  <c r="G19" i="3166"/>
  <c r="F19" i="3166"/>
  <c r="H18" i="3166"/>
  <c r="G18" i="3166"/>
  <c r="F18" i="3166"/>
  <c r="H17" i="3166"/>
  <c r="G17" i="3166"/>
  <c r="F17" i="3166"/>
  <c r="H16" i="3166"/>
  <c r="H23" i="3166" s="1"/>
  <c r="G16" i="3166"/>
  <c r="F16" i="3166"/>
  <c r="G9" i="3166"/>
  <c r="E29" i="3166" s="1"/>
  <c r="E9" i="3166"/>
  <c r="F44" i="3165"/>
  <c r="F43" i="3165"/>
  <c r="R38" i="3165"/>
  <c r="O30" i="3165"/>
  <c r="O29" i="3165"/>
  <c r="L23" i="3165"/>
  <c r="H44" i="3165" s="1"/>
  <c r="D23" i="3165"/>
  <c r="H43" i="3165" s="1"/>
  <c r="P22" i="3165"/>
  <c r="O22" i="3165"/>
  <c r="N22" i="3165"/>
  <c r="H22" i="3165"/>
  <c r="G22" i="3165"/>
  <c r="F22" i="3165"/>
  <c r="P21" i="3165"/>
  <c r="O21" i="3165"/>
  <c r="N21" i="3165"/>
  <c r="H21" i="3165"/>
  <c r="G21" i="3165"/>
  <c r="F21" i="3165"/>
  <c r="P20" i="3165"/>
  <c r="O20" i="3165"/>
  <c r="N20" i="3165"/>
  <c r="H20" i="3165"/>
  <c r="G20" i="3165"/>
  <c r="F20" i="3165"/>
  <c r="H19" i="3165"/>
  <c r="G19" i="3165"/>
  <c r="F19" i="3165"/>
  <c r="H18" i="3165"/>
  <c r="G18" i="3165"/>
  <c r="F18" i="3165"/>
  <c r="H17" i="3165"/>
  <c r="G17" i="3165"/>
  <c r="F17" i="3165"/>
  <c r="H16" i="3165"/>
  <c r="H23" i="3165" s="1"/>
  <c r="G16" i="3165"/>
  <c r="F16" i="3165"/>
  <c r="G9" i="3165"/>
  <c r="E29" i="3165" s="1"/>
  <c r="E9" i="3165"/>
  <c r="F44" i="3164"/>
  <c r="F43" i="3164"/>
  <c r="R38" i="3164"/>
  <c r="O30" i="3164"/>
  <c r="O29" i="3164"/>
  <c r="L23" i="3164"/>
  <c r="H44" i="3164" s="1"/>
  <c r="D23" i="3164"/>
  <c r="H43" i="3164" s="1"/>
  <c r="P22" i="3164"/>
  <c r="O22" i="3164"/>
  <c r="N22" i="3164"/>
  <c r="H22" i="3164"/>
  <c r="G22" i="3164"/>
  <c r="F22" i="3164"/>
  <c r="P21" i="3164"/>
  <c r="O21" i="3164"/>
  <c r="N21" i="3164"/>
  <c r="H21" i="3164"/>
  <c r="G21" i="3164"/>
  <c r="F21" i="3164"/>
  <c r="P20" i="3164"/>
  <c r="O20" i="3164"/>
  <c r="N20" i="3164"/>
  <c r="H20" i="3164"/>
  <c r="G20" i="3164"/>
  <c r="F20" i="3164"/>
  <c r="P19" i="3164"/>
  <c r="O19" i="3164"/>
  <c r="N19" i="3164"/>
  <c r="H19" i="3164"/>
  <c r="G19" i="3164"/>
  <c r="F19" i="3164"/>
  <c r="P18" i="3164"/>
  <c r="O18" i="3164"/>
  <c r="N18" i="3164"/>
  <c r="H18" i="3164"/>
  <c r="G18" i="3164"/>
  <c r="F18" i="3164"/>
  <c r="P17" i="3164"/>
  <c r="O17" i="3164"/>
  <c r="N17" i="3164"/>
  <c r="H17" i="3164"/>
  <c r="G17" i="3164"/>
  <c r="F17" i="3164"/>
  <c r="P16" i="3164"/>
  <c r="O16" i="3164"/>
  <c r="N16" i="3164"/>
  <c r="H16" i="3164"/>
  <c r="H23" i="3164" s="1"/>
  <c r="G16" i="3164"/>
  <c r="F16" i="3164"/>
  <c r="G9" i="3164"/>
  <c r="E29" i="3164" s="1"/>
  <c r="E9" i="3164"/>
  <c r="F44" i="3163"/>
  <c r="F43" i="3163"/>
  <c r="R38" i="3163"/>
  <c r="O30" i="3163"/>
  <c r="O29" i="3163"/>
  <c r="L23" i="3163"/>
  <c r="H44" i="3163" s="1"/>
  <c r="D23" i="3163"/>
  <c r="H43" i="3163" s="1"/>
  <c r="P22" i="3163"/>
  <c r="O22" i="3163"/>
  <c r="N22" i="3163"/>
  <c r="H22" i="3163"/>
  <c r="G22" i="3163"/>
  <c r="F22" i="3163"/>
  <c r="P21" i="3163"/>
  <c r="O21" i="3163"/>
  <c r="N21" i="3163"/>
  <c r="H21" i="3163"/>
  <c r="G21" i="3163"/>
  <c r="F21" i="3163"/>
  <c r="P20" i="3163"/>
  <c r="O20" i="3163"/>
  <c r="N20" i="3163"/>
  <c r="H20" i="3163"/>
  <c r="G20" i="3163"/>
  <c r="F20" i="3163"/>
  <c r="P19" i="3163"/>
  <c r="O19" i="3163"/>
  <c r="N19" i="3163"/>
  <c r="H19" i="3163"/>
  <c r="G19" i="3163"/>
  <c r="F19" i="3163"/>
  <c r="P18" i="3163"/>
  <c r="O18" i="3163"/>
  <c r="N18" i="3163"/>
  <c r="H18" i="3163"/>
  <c r="G18" i="3163"/>
  <c r="F18" i="3163"/>
  <c r="H17" i="3163"/>
  <c r="G17" i="3163"/>
  <c r="F17" i="3163"/>
  <c r="H16" i="3163"/>
  <c r="H23" i="3163" s="1"/>
  <c r="G16" i="3163"/>
  <c r="F16" i="3163"/>
  <c r="G9" i="3163"/>
  <c r="E29" i="3163" s="1"/>
  <c r="E9" i="3163"/>
  <c r="F44" i="3162"/>
  <c r="F43" i="3162"/>
  <c r="R38" i="3162"/>
  <c r="O30" i="3162"/>
  <c r="O29" i="3162"/>
  <c r="L23" i="3162"/>
  <c r="H44" i="3162" s="1"/>
  <c r="D23" i="3162"/>
  <c r="H43" i="3162" s="1"/>
  <c r="P22" i="3162"/>
  <c r="O22" i="3162"/>
  <c r="N22" i="3162"/>
  <c r="H22" i="3162"/>
  <c r="G22" i="3162"/>
  <c r="F22" i="3162"/>
  <c r="P21" i="3162"/>
  <c r="O21" i="3162"/>
  <c r="N21" i="3162"/>
  <c r="H21" i="3162"/>
  <c r="G21" i="3162"/>
  <c r="F21" i="3162"/>
  <c r="P20" i="3162"/>
  <c r="O20" i="3162"/>
  <c r="N20" i="3162"/>
  <c r="H20" i="3162"/>
  <c r="G20" i="3162"/>
  <c r="F20" i="3162"/>
  <c r="P19" i="3162"/>
  <c r="O19" i="3162"/>
  <c r="N19" i="3162"/>
  <c r="H19" i="3162"/>
  <c r="G19" i="3162"/>
  <c r="F19" i="3162"/>
  <c r="P18" i="3162"/>
  <c r="O18" i="3162"/>
  <c r="N18" i="3162"/>
  <c r="H18" i="3162"/>
  <c r="G18" i="3162"/>
  <c r="F18" i="3162"/>
  <c r="P17" i="3162"/>
  <c r="O17" i="3162"/>
  <c r="N17" i="3162"/>
  <c r="H17" i="3162"/>
  <c r="G17" i="3162"/>
  <c r="F17" i="3162"/>
  <c r="H16" i="3162"/>
  <c r="H23" i="3162" s="1"/>
  <c r="G16" i="3162"/>
  <c r="F16" i="3162"/>
  <c r="G9" i="3162"/>
  <c r="E29" i="3162" s="1"/>
  <c r="E9" i="3162"/>
  <c r="F44" i="3161"/>
  <c r="F43" i="3161"/>
  <c r="R38" i="3161"/>
  <c r="O30" i="3161"/>
  <c r="O29" i="3161"/>
  <c r="L23" i="3161"/>
  <c r="H44" i="3161" s="1"/>
  <c r="D23" i="3161"/>
  <c r="H43" i="3161" s="1"/>
  <c r="P22" i="3161"/>
  <c r="O22" i="3161"/>
  <c r="N22" i="3161"/>
  <c r="H22" i="3161"/>
  <c r="G22" i="3161"/>
  <c r="F22" i="3161"/>
  <c r="P21" i="3161"/>
  <c r="O21" i="3161"/>
  <c r="N21" i="3161"/>
  <c r="H21" i="3161"/>
  <c r="G21" i="3161"/>
  <c r="F21" i="3161"/>
  <c r="P20" i="3161"/>
  <c r="O20" i="3161"/>
  <c r="N20" i="3161"/>
  <c r="H20" i="3161"/>
  <c r="G20" i="3161"/>
  <c r="F20" i="3161"/>
  <c r="P19" i="3161"/>
  <c r="O19" i="3161"/>
  <c r="N19" i="3161"/>
  <c r="H19" i="3161"/>
  <c r="G19" i="3161"/>
  <c r="F19" i="3161"/>
  <c r="P18" i="3161"/>
  <c r="O18" i="3161"/>
  <c r="N18" i="3161"/>
  <c r="H18" i="3161"/>
  <c r="G18" i="3161"/>
  <c r="F18" i="3161"/>
  <c r="P17" i="3161"/>
  <c r="O17" i="3161"/>
  <c r="N17" i="3161"/>
  <c r="H17" i="3161"/>
  <c r="G17" i="3161"/>
  <c r="F17" i="3161"/>
  <c r="P16" i="3161"/>
  <c r="O16" i="3161"/>
  <c r="N16" i="3161"/>
  <c r="H16" i="3161"/>
  <c r="H23" i="3161" s="1"/>
  <c r="G16" i="3161"/>
  <c r="F16" i="3161"/>
  <c r="G9" i="3161"/>
  <c r="E29" i="3161" s="1"/>
  <c r="E9" i="3161"/>
  <c r="F44" i="3160"/>
  <c r="F43" i="3160"/>
  <c r="R38" i="3160"/>
  <c r="O30" i="3160"/>
  <c r="O29" i="3160"/>
  <c r="L23" i="3160"/>
  <c r="H44" i="3160" s="1"/>
  <c r="D23" i="3160"/>
  <c r="H43" i="3160" s="1"/>
  <c r="P22" i="3160"/>
  <c r="O22" i="3160"/>
  <c r="N22" i="3160"/>
  <c r="H22" i="3160"/>
  <c r="G22" i="3160"/>
  <c r="F22" i="3160"/>
  <c r="P21" i="3160"/>
  <c r="O21" i="3160"/>
  <c r="N21" i="3160"/>
  <c r="H21" i="3160"/>
  <c r="G21" i="3160"/>
  <c r="F21" i="3160"/>
  <c r="P20" i="3160"/>
  <c r="O20" i="3160"/>
  <c r="N20" i="3160"/>
  <c r="H20" i="3160"/>
  <c r="G20" i="3160"/>
  <c r="F20" i="3160"/>
  <c r="P19" i="3160"/>
  <c r="O19" i="3160"/>
  <c r="N19" i="3160"/>
  <c r="H19" i="3160"/>
  <c r="G19" i="3160"/>
  <c r="F19" i="3160"/>
  <c r="H18" i="3160"/>
  <c r="G18" i="3160"/>
  <c r="F18" i="3160"/>
  <c r="H17" i="3160"/>
  <c r="G17" i="3160"/>
  <c r="F17" i="3160"/>
  <c r="H16" i="3160"/>
  <c r="H23" i="3160" s="1"/>
  <c r="G16" i="3160"/>
  <c r="F16" i="3160"/>
  <c r="G9" i="3160"/>
  <c r="E29" i="3160" s="1"/>
  <c r="E9" i="3160"/>
  <c r="F44" i="3159"/>
  <c r="F43" i="3159"/>
  <c r="R38" i="3159"/>
  <c r="O30" i="3159"/>
  <c r="O29" i="3159"/>
  <c r="L23" i="3159"/>
  <c r="H44" i="3159" s="1"/>
  <c r="D23" i="3159"/>
  <c r="H43" i="3159" s="1"/>
  <c r="P22" i="3159"/>
  <c r="O22" i="3159"/>
  <c r="N22" i="3159"/>
  <c r="H22" i="3159"/>
  <c r="G22" i="3159"/>
  <c r="F22" i="3159"/>
  <c r="P21" i="3159"/>
  <c r="O21" i="3159"/>
  <c r="N21" i="3159"/>
  <c r="H21" i="3159"/>
  <c r="G21" i="3159"/>
  <c r="F21" i="3159"/>
  <c r="P20" i="3159"/>
  <c r="O20" i="3159"/>
  <c r="N20" i="3159"/>
  <c r="H20" i="3159"/>
  <c r="G20" i="3159"/>
  <c r="F20" i="3159"/>
  <c r="P19" i="3159"/>
  <c r="O19" i="3159"/>
  <c r="N19" i="3159"/>
  <c r="H19" i="3159"/>
  <c r="G19" i="3159"/>
  <c r="F19" i="3159"/>
  <c r="P18" i="3159"/>
  <c r="O18" i="3159"/>
  <c r="N18" i="3159"/>
  <c r="H18" i="3159"/>
  <c r="G18" i="3159"/>
  <c r="F18" i="3159"/>
  <c r="P17" i="3159"/>
  <c r="O17" i="3159"/>
  <c r="N17" i="3159"/>
  <c r="H17" i="3159"/>
  <c r="G17" i="3159"/>
  <c r="F17" i="3159"/>
  <c r="P16" i="3159"/>
  <c r="O16" i="3159"/>
  <c r="N16" i="3159"/>
  <c r="H16" i="3159"/>
  <c r="H23" i="3159" s="1"/>
  <c r="G16" i="3159"/>
  <c r="F16" i="3159"/>
  <c r="G9" i="3159"/>
  <c r="E29" i="3159" s="1"/>
  <c r="E9" i="3159"/>
  <c r="F44" i="3158"/>
  <c r="F43" i="3158"/>
  <c r="R38" i="3158"/>
  <c r="O30" i="3158"/>
  <c r="O29" i="3158"/>
  <c r="L23" i="3158"/>
  <c r="H44" i="3158" s="1"/>
  <c r="D23" i="3158"/>
  <c r="H43" i="3158" s="1"/>
  <c r="P22" i="3158"/>
  <c r="O22" i="3158"/>
  <c r="N22" i="3158"/>
  <c r="H22" i="3158"/>
  <c r="G22" i="3158"/>
  <c r="F22" i="3158"/>
  <c r="P21" i="3158"/>
  <c r="O21" i="3158"/>
  <c r="N21" i="3158"/>
  <c r="H21" i="3158"/>
  <c r="G21" i="3158"/>
  <c r="F21" i="3158"/>
  <c r="P20" i="3158"/>
  <c r="O20" i="3158"/>
  <c r="N20" i="3158"/>
  <c r="H20" i="3158"/>
  <c r="G20" i="3158"/>
  <c r="F20" i="3158"/>
  <c r="P19" i="3158"/>
  <c r="O19" i="3158"/>
  <c r="N19" i="3158"/>
  <c r="H19" i="3158"/>
  <c r="G19" i="3158"/>
  <c r="F19" i="3158"/>
  <c r="H18" i="3158"/>
  <c r="G18" i="3158"/>
  <c r="F18" i="3158"/>
  <c r="H17" i="3158"/>
  <c r="G17" i="3158"/>
  <c r="F17" i="3158"/>
  <c r="H16" i="3158"/>
  <c r="H23" i="3158" s="1"/>
  <c r="G16" i="3158"/>
  <c r="F16" i="3158"/>
  <c r="G9" i="3158"/>
  <c r="E29" i="3158" s="1"/>
  <c r="E9" i="3158"/>
  <c r="F44" i="3157"/>
  <c r="F43" i="3157"/>
  <c r="R38" i="3157"/>
  <c r="O30" i="3157"/>
  <c r="O29" i="3157"/>
  <c r="L23" i="3157"/>
  <c r="H44" i="3157" s="1"/>
  <c r="D23" i="3157"/>
  <c r="H43" i="3157" s="1"/>
  <c r="P22" i="3157"/>
  <c r="O22" i="3157"/>
  <c r="N22" i="3157"/>
  <c r="H22" i="3157"/>
  <c r="G22" i="3157"/>
  <c r="F22" i="3157"/>
  <c r="P21" i="3157"/>
  <c r="O21" i="3157"/>
  <c r="N21" i="3157"/>
  <c r="H21" i="3157"/>
  <c r="G21" i="3157"/>
  <c r="F21" i="3157"/>
  <c r="P20" i="3157"/>
  <c r="O20" i="3157"/>
  <c r="N20" i="3157"/>
  <c r="H20" i="3157"/>
  <c r="G20" i="3157"/>
  <c r="F20" i="3157"/>
  <c r="P19" i="3157"/>
  <c r="O19" i="3157"/>
  <c r="N19" i="3157"/>
  <c r="H19" i="3157"/>
  <c r="G19" i="3157"/>
  <c r="F19" i="3157"/>
  <c r="H18" i="3157"/>
  <c r="G18" i="3157"/>
  <c r="F18" i="3157"/>
  <c r="H17" i="3157"/>
  <c r="G17" i="3157"/>
  <c r="F17" i="3157"/>
  <c r="H16" i="3157"/>
  <c r="H23" i="3157" s="1"/>
  <c r="G16" i="3157"/>
  <c r="F16" i="3157"/>
  <c r="G9" i="3157"/>
  <c r="E29" i="3157" s="1"/>
  <c r="E9" i="3157"/>
  <c r="F44" i="3156"/>
  <c r="F43" i="3156"/>
  <c r="R38" i="3156"/>
  <c r="O30" i="3156"/>
  <c r="O29" i="3156"/>
  <c r="L23" i="3156"/>
  <c r="H44" i="3156" s="1"/>
  <c r="D23" i="3156"/>
  <c r="H43" i="3156" s="1"/>
  <c r="P22" i="3156"/>
  <c r="O22" i="3156"/>
  <c r="N22" i="3156"/>
  <c r="H22" i="3156"/>
  <c r="G22" i="3156"/>
  <c r="F22" i="3156"/>
  <c r="P21" i="3156"/>
  <c r="O21" i="3156"/>
  <c r="N21" i="3156"/>
  <c r="H21" i="3156"/>
  <c r="G21" i="3156"/>
  <c r="F21" i="3156"/>
  <c r="P20" i="3156"/>
  <c r="O20" i="3156"/>
  <c r="N20" i="3156"/>
  <c r="H20" i="3156"/>
  <c r="G20" i="3156"/>
  <c r="F20" i="3156"/>
  <c r="P19" i="3156"/>
  <c r="O19" i="3156"/>
  <c r="N19" i="3156"/>
  <c r="H19" i="3156"/>
  <c r="G19" i="3156"/>
  <c r="F19" i="3156"/>
  <c r="P18" i="3156"/>
  <c r="O18" i="3156"/>
  <c r="N18" i="3156"/>
  <c r="H18" i="3156"/>
  <c r="G18" i="3156"/>
  <c r="F18" i="3156"/>
  <c r="P17" i="3156"/>
  <c r="O17" i="3156"/>
  <c r="N17" i="3156"/>
  <c r="H17" i="3156"/>
  <c r="G17" i="3156"/>
  <c r="F17" i="3156"/>
  <c r="H16" i="3156"/>
  <c r="H23" i="3156" s="1"/>
  <c r="G16" i="3156"/>
  <c r="F16" i="3156"/>
  <c r="G9" i="3156"/>
  <c r="E29" i="3156" s="1"/>
  <c r="E9" i="3156"/>
  <c r="R38" i="3155"/>
  <c r="F44" i="3155"/>
  <c r="F43" i="3155"/>
  <c r="O30" i="3155"/>
  <c r="O29" i="3155"/>
  <c r="L23" i="3155"/>
  <c r="H44" i="3155" s="1"/>
  <c r="D23" i="3155"/>
  <c r="H43" i="3155" s="1"/>
  <c r="P22" i="3155"/>
  <c r="O22" i="3155"/>
  <c r="N22" i="3155"/>
  <c r="H22" i="3155"/>
  <c r="G22" i="3155"/>
  <c r="F22" i="3155"/>
  <c r="P21" i="3155"/>
  <c r="O21" i="3155"/>
  <c r="N21" i="3155"/>
  <c r="H21" i="3155"/>
  <c r="G21" i="3155"/>
  <c r="F21" i="3155"/>
  <c r="P20" i="3155"/>
  <c r="O20" i="3155"/>
  <c r="N20" i="3155"/>
  <c r="H20" i="3155"/>
  <c r="G20" i="3155"/>
  <c r="F20" i="3155"/>
  <c r="P19" i="3155"/>
  <c r="O19" i="3155"/>
  <c r="N19" i="3155"/>
  <c r="H19" i="3155"/>
  <c r="G19" i="3155"/>
  <c r="F19" i="3155"/>
  <c r="H18" i="3155"/>
  <c r="G18" i="3155"/>
  <c r="F18" i="3155"/>
  <c r="H17" i="3155"/>
  <c r="G17" i="3155"/>
  <c r="F17" i="3155"/>
  <c r="H16" i="3155"/>
  <c r="H23" i="3155" s="1"/>
  <c r="G16" i="3155"/>
  <c r="F16" i="3155"/>
  <c r="G9" i="3155"/>
  <c r="E29" i="3155" s="1"/>
  <c r="E9" i="3155"/>
  <c r="F44" i="3154"/>
  <c r="F43" i="3154"/>
  <c r="R38" i="3154"/>
  <c r="O30" i="3154"/>
  <c r="O29" i="3154"/>
  <c r="L23" i="3154"/>
  <c r="H44" i="3154" s="1"/>
  <c r="D23" i="3154"/>
  <c r="H43" i="3154" s="1"/>
  <c r="P22" i="3154"/>
  <c r="O22" i="3154"/>
  <c r="N22" i="3154"/>
  <c r="H22" i="3154"/>
  <c r="G22" i="3154"/>
  <c r="F22" i="3154"/>
  <c r="P21" i="3154"/>
  <c r="O21" i="3154"/>
  <c r="N21" i="3154"/>
  <c r="H21" i="3154"/>
  <c r="G21" i="3154"/>
  <c r="F21" i="3154"/>
  <c r="P20" i="3154"/>
  <c r="O20" i="3154"/>
  <c r="N20" i="3154"/>
  <c r="H20" i="3154"/>
  <c r="G20" i="3154"/>
  <c r="F20" i="3154"/>
  <c r="P19" i="3154"/>
  <c r="O19" i="3154"/>
  <c r="N19" i="3154"/>
  <c r="H19" i="3154"/>
  <c r="G19" i="3154"/>
  <c r="F19" i="3154"/>
  <c r="H18" i="3154"/>
  <c r="G18" i="3154"/>
  <c r="F18" i="3154"/>
  <c r="H17" i="3154"/>
  <c r="G17" i="3154"/>
  <c r="F17" i="3154"/>
  <c r="H16" i="3154"/>
  <c r="H23" i="3154" s="1"/>
  <c r="G16" i="3154"/>
  <c r="F16" i="3154"/>
  <c r="G9" i="3154"/>
  <c r="E29" i="3154" s="1"/>
  <c r="E9" i="3154"/>
  <c r="F44" i="3153"/>
  <c r="F43" i="3153"/>
  <c r="R38" i="3153"/>
  <c r="O30" i="3153"/>
  <c r="O29" i="3153"/>
  <c r="L23" i="3153"/>
  <c r="H44" i="3153" s="1"/>
  <c r="D23" i="3153"/>
  <c r="H43" i="3153" s="1"/>
  <c r="P22" i="3153"/>
  <c r="O22" i="3153"/>
  <c r="N22" i="3153"/>
  <c r="H22" i="3153"/>
  <c r="G22" i="3153"/>
  <c r="F22" i="3153"/>
  <c r="P21" i="3153"/>
  <c r="O21" i="3153"/>
  <c r="N21" i="3153"/>
  <c r="H21" i="3153"/>
  <c r="G21" i="3153"/>
  <c r="F21" i="3153"/>
  <c r="P20" i="3153"/>
  <c r="O20" i="3153"/>
  <c r="N20" i="3153"/>
  <c r="H20" i="3153"/>
  <c r="G20" i="3153"/>
  <c r="F20" i="3153"/>
  <c r="P19" i="3153"/>
  <c r="O19" i="3153"/>
  <c r="N19" i="3153"/>
  <c r="H19" i="3153"/>
  <c r="G19" i="3153"/>
  <c r="F19" i="3153"/>
  <c r="P18" i="3153"/>
  <c r="O18" i="3153"/>
  <c r="N18" i="3153"/>
  <c r="H18" i="3153"/>
  <c r="G18" i="3153"/>
  <c r="F18" i="3153"/>
  <c r="H17" i="3153"/>
  <c r="G17" i="3153"/>
  <c r="F17" i="3153"/>
  <c r="H16" i="3153"/>
  <c r="H23" i="3153" s="1"/>
  <c r="G16" i="3153"/>
  <c r="F16" i="3153"/>
  <c r="G9" i="3153"/>
  <c r="E29" i="3153" s="1"/>
  <c r="E9" i="3153"/>
  <c r="R38" i="3152"/>
  <c r="F44" i="3152"/>
  <c r="F43" i="3152"/>
  <c r="O30" i="3152"/>
  <c r="O29" i="3152"/>
  <c r="L23" i="3152"/>
  <c r="H44" i="3152" s="1"/>
  <c r="D23" i="3152"/>
  <c r="H43" i="3152" s="1"/>
  <c r="P22" i="3152"/>
  <c r="O22" i="3152"/>
  <c r="N22" i="3152"/>
  <c r="H22" i="3152"/>
  <c r="G22" i="3152"/>
  <c r="F22" i="3152"/>
  <c r="P21" i="3152"/>
  <c r="O21" i="3152"/>
  <c r="N21" i="3152"/>
  <c r="H21" i="3152"/>
  <c r="G21" i="3152"/>
  <c r="F21" i="3152"/>
  <c r="P20" i="3152"/>
  <c r="O20" i="3152"/>
  <c r="N20" i="3152"/>
  <c r="H20" i="3152"/>
  <c r="G20" i="3152"/>
  <c r="F20" i="3152"/>
  <c r="P19" i="3152"/>
  <c r="O19" i="3152"/>
  <c r="N19" i="3152"/>
  <c r="H19" i="3152"/>
  <c r="G19" i="3152"/>
  <c r="F19" i="3152"/>
  <c r="P18" i="3152"/>
  <c r="O18" i="3152"/>
  <c r="N18" i="3152"/>
  <c r="H18" i="3152"/>
  <c r="G18" i="3152"/>
  <c r="F18" i="3152"/>
  <c r="H17" i="3152"/>
  <c r="G17" i="3152"/>
  <c r="F17" i="3152"/>
  <c r="H16" i="3152"/>
  <c r="H23" i="3152" s="1"/>
  <c r="G16" i="3152"/>
  <c r="F16" i="3152"/>
  <c r="G9" i="3152"/>
  <c r="E29" i="3152" s="1"/>
  <c r="E9" i="3152"/>
  <c r="F44" i="3151"/>
  <c r="F43" i="3151"/>
  <c r="R38" i="3151"/>
  <c r="O30" i="3151"/>
  <c r="O29" i="3151"/>
  <c r="L23" i="3151"/>
  <c r="H44" i="3151" s="1"/>
  <c r="D23" i="3151"/>
  <c r="H43" i="3151" s="1"/>
  <c r="P22" i="3151"/>
  <c r="O22" i="3151"/>
  <c r="N22" i="3151"/>
  <c r="H22" i="3151"/>
  <c r="G22" i="3151"/>
  <c r="F22" i="3151"/>
  <c r="P21" i="3151"/>
  <c r="O21" i="3151"/>
  <c r="N21" i="3151"/>
  <c r="H21" i="3151"/>
  <c r="G21" i="3151"/>
  <c r="F21" i="3151"/>
  <c r="P20" i="3151"/>
  <c r="O20" i="3151"/>
  <c r="N20" i="3151"/>
  <c r="H20" i="3151"/>
  <c r="G20" i="3151"/>
  <c r="F20" i="3151"/>
  <c r="P19" i="3151"/>
  <c r="O19" i="3151"/>
  <c r="N19" i="3151"/>
  <c r="H19" i="3151"/>
  <c r="G19" i="3151"/>
  <c r="F19" i="3151"/>
  <c r="P18" i="3151"/>
  <c r="O18" i="3151"/>
  <c r="N18" i="3151"/>
  <c r="H18" i="3151"/>
  <c r="G18" i="3151"/>
  <c r="F18" i="3151"/>
  <c r="H17" i="3151"/>
  <c r="G17" i="3151"/>
  <c r="F17" i="3151"/>
  <c r="H16" i="3151"/>
  <c r="H23" i="3151" s="1"/>
  <c r="G16" i="3151"/>
  <c r="F16" i="3151"/>
  <c r="G9" i="3151"/>
  <c r="E29" i="3151" s="1"/>
  <c r="E9" i="3151"/>
  <c r="R38" i="3150"/>
  <c r="F44" i="3150"/>
  <c r="F43" i="3150"/>
  <c r="O30" i="3150"/>
  <c r="O29" i="3150"/>
  <c r="L23" i="3150"/>
  <c r="H44" i="3150" s="1"/>
  <c r="D23" i="3150"/>
  <c r="H43" i="3150" s="1"/>
  <c r="P22" i="3150"/>
  <c r="O22" i="3150"/>
  <c r="N22" i="3150"/>
  <c r="H22" i="3150"/>
  <c r="G22" i="3150"/>
  <c r="F22" i="3150"/>
  <c r="P21" i="3150"/>
  <c r="O21" i="3150"/>
  <c r="N21" i="3150"/>
  <c r="H21" i="3150"/>
  <c r="G21" i="3150"/>
  <c r="F21" i="3150"/>
  <c r="P20" i="3150"/>
  <c r="O20" i="3150"/>
  <c r="N20" i="3150"/>
  <c r="H20" i="3150"/>
  <c r="G20" i="3150"/>
  <c r="F20" i="3150"/>
  <c r="P19" i="3150"/>
  <c r="O19" i="3150"/>
  <c r="N19" i="3150"/>
  <c r="H19" i="3150"/>
  <c r="G19" i="3150"/>
  <c r="F19" i="3150"/>
  <c r="H18" i="3150"/>
  <c r="G18" i="3150"/>
  <c r="F18" i="3150"/>
  <c r="H17" i="3150"/>
  <c r="G17" i="3150"/>
  <c r="F17" i="3150"/>
  <c r="H16" i="3150"/>
  <c r="H23" i="3150" s="1"/>
  <c r="G16" i="3150"/>
  <c r="F16" i="3150"/>
  <c r="G9" i="3150"/>
  <c r="E29" i="3150" s="1"/>
  <c r="E9" i="3150"/>
  <c r="F44" i="3149"/>
  <c r="F43" i="3149"/>
  <c r="O30" i="3149"/>
  <c r="O29" i="3149"/>
  <c r="L23" i="3149"/>
  <c r="H44" i="3149" s="1"/>
  <c r="D23" i="3149"/>
  <c r="H43" i="3149" s="1"/>
  <c r="P22" i="3149"/>
  <c r="O22" i="3149"/>
  <c r="N22" i="3149"/>
  <c r="H22" i="3149"/>
  <c r="G22" i="3149"/>
  <c r="F22" i="3149"/>
  <c r="P21" i="3149"/>
  <c r="O21" i="3149"/>
  <c r="N21" i="3149"/>
  <c r="H21" i="3149"/>
  <c r="G21" i="3149"/>
  <c r="F21" i="3149"/>
  <c r="P20" i="3149"/>
  <c r="O20" i="3149"/>
  <c r="N20" i="3149"/>
  <c r="H20" i="3149"/>
  <c r="G20" i="3149"/>
  <c r="F20" i="3149"/>
  <c r="P19" i="3149"/>
  <c r="O19" i="3149"/>
  <c r="N19" i="3149"/>
  <c r="H19" i="3149"/>
  <c r="G19" i="3149"/>
  <c r="F19" i="3149"/>
  <c r="H18" i="3149"/>
  <c r="G18" i="3149"/>
  <c r="F18" i="3149"/>
  <c r="H17" i="3149"/>
  <c r="G17" i="3149"/>
  <c r="F17" i="3149"/>
  <c r="H16" i="3149"/>
  <c r="H23" i="3149" s="1"/>
  <c r="G16" i="3149"/>
  <c r="F16" i="3149"/>
  <c r="G9" i="3149"/>
  <c r="E29" i="3149" s="1"/>
  <c r="E9" i="3149"/>
  <c r="C29" i="3149" s="1"/>
  <c r="G36" i="3174" l="1"/>
  <c r="N43" i="3174" s="1"/>
  <c r="P23" i="3169"/>
  <c r="P23" i="3159"/>
  <c r="P23" i="3161"/>
  <c r="P23" i="3164"/>
  <c r="P23" i="3168"/>
  <c r="C43" i="3172"/>
  <c r="K43" i="3172" s="1"/>
  <c r="M43" i="3172" s="1"/>
  <c r="C29" i="3172"/>
  <c r="N16" i="3172"/>
  <c r="O16" i="3172" s="1"/>
  <c r="P16" i="3172" s="1"/>
  <c r="P23" i="3172" s="1"/>
  <c r="C43" i="3171"/>
  <c r="K43" i="3171" s="1"/>
  <c r="M43" i="3171" s="1"/>
  <c r="C29" i="3171"/>
  <c r="C43" i="3170"/>
  <c r="K43" i="3170" s="1"/>
  <c r="M43" i="3170" s="1"/>
  <c r="C29" i="3170"/>
  <c r="N16" i="3170"/>
  <c r="O16" i="3170" s="1"/>
  <c r="P16" i="3170" s="1"/>
  <c r="P23" i="3170" s="1"/>
  <c r="C43" i="3169"/>
  <c r="K43" i="3169" s="1"/>
  <c r="M43" i="3169" s="1"/>
  <c r="C29" i="3169"/>
  <c r="F44" i="3169"/>
  <c r="O30" i="3169"/>
  <c r="C43" i="3168"/>
  <c r="K43" i="3168" s="1"/>
  <c r="M43" i="3168" s="1"/>
  <c r="C29" i="3168"/>
  <c r="C43" i="3167"/>
  <c r="K43" i="3167" s="1"/>
  <c r="M43" i="3167" s="1"/>
  <c r="C29" i="3167"/>
  <c r="N17" i="3167"/>
  <c r="O17" i="3167" s="1"/>
  <c r="P17" i="3167" s="1"/>
  <c r="C43" i="3166"/>
  <c r="K43" i="3166" s="1"/>
  <c r="M43" i="3166" s="1"/>
  <c r="C29" i="3166"/>
  <c r="N19" i="3166"/>
  <c r="O19" i="3166" s="1"/>
  <c r="P19" i="3166" s="1"/>
  <c r="N18" i="3166"/>
  <c r="O18" i="3166" s="1"/>
  <c r="P18" i="3166" s="1"/>
  <c r="C43" i="3165"/>
  <c r="K43" i="3165" s="1"/>
  <c r="M43" i="3165" s="1"/>
  <c r="C29" i="3165"/>
  <c r="C43" i="3164"/>
  <c r="K43" i="3164" s="1"/>
  <c r="M43" i="3164" s="1"/>
  <c r="C29" i="3164"/>
  <c r="C43" i="3163"/>
  <c r="K43" i="3163" s="1"/>
  <c r="M43" i="3163" s="1"/>
  <c r="C29" i="3163"/>
  <c r="C43" i="3162"/>
  <c r="K43" i="3162" s="1"/>
  <c r="M43" i="3162" s="1"/>
  <c r="C29" i="3162"/>
  <c r="C43" i="3161"/>
  <c r="K43" i="3161" s="1"/>
  <c r="M43" i="3161" s="1"/>
  <c r="C29" i="3161"/>
  <c r="C43" i="3160"/>
  <c r="K43" i="3160" s="1"/>
  <c r="M43" i="3160" s="1"/>
  <c r="C29" i="3160"/>
  <c r="N18" i="3160"/>
  <c r="O18" i="3160" s="1"/>
  <c r="P18" i="3160" s="1"/>
  <c r="C43" i="3159"/>
  <c r="K43" i="3159" s="1"/>
  <c r="M43" i="3159" s="1"/>
  <c r="C29" i="3159"/>
  <c r="C43" i="3158"/>
  <c r="K43" i="3158" s="1"/>
  <c r="M43" i="3158" s="1"/>
  <c r="C29" i="3158"/>
  <c r="C43" i="3157"/>
  <c r="K43" i="3157" s="1"/>
  <c r="M43" i="3157" s="1"/>
  <c r="C29" i="3157"/>
  <c r="C43" i="3156"/>
  <c r="K43" i="3156" s="1"/>
  <c r="M43" i="3156" s="1"/>
  <c r="C29" i="3156"/>
  <c r="N16" i="3156"/>
  <c r="O16" i="3156" s="1"/>
  <c r="P16" i="3156" s="1"/>
  <c r="P23" i="3156" s="1"/>
  <c r="C43" i="3155"/>
  <c r="K43" i="3155" s="1"/>
  <c r="M43" i="3155" s="1"/>
  <c r="C29" i="3155"/>
  <c r="N18" i="3155"/>
  <c r="O18" i="3155" s="1"/>
  <c r="P18" i="3155" s="1"/>
  <c r="N17" i="3155"/>
  <c r="O17" i="3155" s="1"/>
  <c r="P17" i="3155" s="1"/>
  <c r="C43" i="3154"/>
  <c r="K43" i="3154" s="1"/>
  <c r="M43" i="3154" s="1"/>
  <c r="C29" i="3154"/>
  <c r="C43" i="3153"/>
  <c r="K43" i="3153" s="1"/>
  <c r="M43" i="3153" s="1"/>
  <c r="C29" i="3153"/>
  <c r="C43" i="3152"/>
  <c r="K43" i="3152" s="1"/>
  <c r="M43" i="3152" s="1"/>
  <c r="C29" i="3152"/>
  <c r="N17" i="3152"/>
  <c r="O17" i="3152" s="1"/>
  <c r="P17" i="3152" s="1"/>
  <c r="C43" i="3151"/>
  <c r="K43" i="3151" s="1"/>
  <c r="M43" i="3151" s="1"/>
  <c r="C29" i="3151"/>
  <c r="C43" i="3150"/>
  <c r="K43" i="3150" s="1"/>
  <c r="M43" i="3150" s="1"/>
  <c r="C29" i="3150"/>
  <c r="N18" i="3150"/>
  <c r="O18" i="3150" s="1"/>
  <c r="P18" i="3150" s="1"/>
  <c r="N17" i="3150"/>
  <c r="O17" i="3150" s="1"/>
  <c r="P17" i="3150" s="1"/>
  <c r="N16" i="3150"/>
  <c r="O16" i="3150" s="1"/>
  <c r="P16" i="3150" s="1"/>
  <c r="C36" i="3149"/>
  <c r="G29" i="3149"/>
  <c r="E36" i="3149" s="1"/>
  <c r="G36" i="3149" s="1"/>
  <c r="N43" i="3149" s="1"/>
  <c r="C43" i="3149"/>
  <c r="K43" i="3149" s="1"/>
  <c r="M43" i="3149" s="1"/>
  <c r="F44" i="3148"/>
  <c r="F43" i="3148"/>
  <c r="O30" i="3148"/>
  <c r="O29" i="3148"/>
  <c r="L23" i="3148"/>
  <c r="H44" i="3148" s="1"/>
  <c r="D23" i="3148"/>
  <c r="H43" i="3148" s="1"/>
  <c r="P22" i="3148"/>
  <c r="O22" i="3148"/>
  <c r="N22" i="3148"/>
  <c r="H22" i="3148"/>
  <c r="G22" i="3148"/>
  <c r="F22" i="3148"/>
  <c r="P21" i="3148"/>
  <c r="O21" i="3148"/>
  <c r="N21" i="3148"/>
  <c r="H21" i="3148"/>
  <c r="G21" i="3148"/>
  <c r="F21" i="3148"/>
  <c r="P20" i="3148"/>
  <c r="O20" i="3148"/>
  <c r="N20" i="3148"/>
  <c r="H20" i="3148"/>
  <c r="G20" i="3148"/>
  <c r="F20" i="3148"/>
  <c r="P19" i="3148"/>
  <c r="O19" i="3148"/>
  <c r="N19" i="3148"/>
  <c r="H19" i="3148"/>
  <c r="G19" i="3148"/>
  <c r="F19" i="3148"/>
  <c r="P18" i="3148"/>
  <c r="O18" i="3148"/>
  <c r="N18" i="3148"/>
  <c r="H18" i="3148"/>
  <c r="G18" i="3148"/>
  <c r="F18" i="3148"/>
  <c r="P17" i="3148"/>
  <c r="O17" i="3148"/>
  <c r="N17" i="3148"/>
  <c r="H17" i="3148"/>
  <c r="G17" i="3148"/>
  <c r="F17" i="3148"/>
  <c r="H16" i="3148"/>
  <c r="H23" i="3148" s="1"/>
  <c r="G16" i="3148"/>
  <c r="F16" i="3148"/>
  <c r="G9" i="3148"/>
  <c r="E29" i="3148" s="1"/>
  <c r="E9" i="3148"/>
  <c r="F44" i="3147"/>
  <c r="F43" i="3147"/>
  <c r="O30" i="3147"/>
  <c r="O29" i="3147"/>
  <c r="L23" i="3147"/>
  <c r="H44" i="3147" s="1"/>
  <c r="D23" i="3147"/>
  <c r="H43" i="3147" s="1"/>
  <c r="P22" i="3147"/>
  <c r="O22" i="3147"/>
  <c r="N22" i="3147"/>
  <c r="H22" i="3147"/>
  <c r="G22" i="3147"/>
  <c r="F22" i="3147"/>
  <c r="P21" i="3147"/>
  <c r="O21" i="3147"/>
  <c r="N21" i="3147"/>
  <c r="H21" i="3147"/>
  <c r="G21" i="3147"/>
  <c r="F21" i="3147"/>
  <c r="P20" i="3147"/>
  <c r="O20" i="3147"/>
  <c r="N20" i="3147"/>
  <c r="H20" i="3147"/>
  <c r="G20" i="3147"/>
  <c r="F20" i="3147"/>
  <c r="P19" i="3147"/>
  <c r="O19" i="3147"/>
  <c r="N19" i="3147"/>
  <c r="H19" i="3147"/>
  <c r="G19" i="3147"/>
  <c r="F19" i="3147"/>
  <c r="P18" i="3147"/>
  <c r="O18" i="3147"/>
  <c r="N18" i="3147"/>
  <c r="H18" i="3147"/>
  <c r="G18" i="3147"/>
  <c r="F18" i="3147"/>
  <c r="P17" i="3147"/>
  <c r="O17" i="3147"/>
  <c r="N17" i="3147"/>
  <c r="H17" i="3147"/>
  <c r="G17" i="3147"/>
  <c r="F17" i="3147"/>
  <c r="H16" i="3147"/>
  <c r="H23" i="3147" s="1"/>
  <c r="G16" i="3147"/>
  <c r="F16" i="3147"/>
  <c r="G9" i="3147"/>
  <c r="E29" i="3147" s="1"/>
  <c r="E9" i="3147"/>
  <c r="F44" i="3146"/>
  <c r="F43" i="3146"/>
  <c r="O30" i="3146"/>
  <c r="O29" i="3146"/>
  <c r="L23" i="3146"/>
  <c r="H44" i="3146" s="1"/>
  <c r="D23" i="3146"/>
  <c r="H43" i="3146" s="1"/>
  <c r="P22" i="3146"/>
  <c r="O22" i="3146"/>
  <c r="N22" i="3146"/>
  <c r="H22" i="3146"/>
  <c r="G22" i="3146"/>
  <c r="F22" i="3146"/>
  <c r="P21" i="3146"/>
  <c r="O21" i="3146"/>
  <c r="N21" i="3146"/>
  <c r="H21" i="3146"/>
  <c r="G21" i="3146"/>
  <c r="F21" i="3146"/>
  <c r="P20" i="3146"/>
  <c r="O20" i="3146"/>
  <c r="N20" i="3146"/>
  <c r="H20" i="3146"/>
  <c r="G20" i="3146"/>
  <c r="F20" i="3146"/>
  <c r="P19" i="3146"/>
  <c r="O19" i="3146"/>
  <c r="N19" i="3146"/>
  <c r="H19" i="3146"/>
  <c r="G19" i="3146"/>
  <c r="F19" i="3146"/>
  <c r="P18" i="3146"/>
  <c r="O18" i="3146"/>
  <c r="N18" i="3146"/>
  <c r="H18" i="3146"/>
  <c r="G18" i="3146"/>
  <c r="F18" i="3146"/>
  <c r="P17" i="3146"/>
  <c r="O17" i="3146"/>
  <c r="N17" i="3146"/>
  <c r="H17" i="3146"/>
  <c r="G17" i="3146"/>
  <c r="F17" i="3146"/>
  <c r="H16" i="3146"/>
  <c r="H23" i="3146" s="1"/>
  <c r="G16" i="3146"/>
  <c r="F16" i="3146"/>
  <c r="G9" i="3146"/>
  <c r="E29" i="3146" s="1"/>
  <c r="E9" i="3146"/>
  <c r="F44" i="3145"/>
  <c r="F43" i="3145"/>
  <c r="O30" i="3145"/>
  <c r="O29" i="3145"/>
  <c r="L23" i="3145"/>
  <c r="H44" i="3145" s="1"/>
  <c r="D23" i="3145"/>
  <c r="H43" i="3145" s="1"/>
  <c r="P22" i="3145"/>
  <c r="O22" i="3145"/>
  <c r="N22" i="3145"/>
  <c r="H22" i="3145"/>
  <c r="G22" i="3145"/>
  <c r="F22" i="3145"/>
  <c r="P21" i="3145"/>
  <c r="O21" i="3145"/>
  <c r="N21" i="3145"/>
  <c r="H21" i="3145"/>
  <c r="G21" i="3145"/>
  <c r="F21" i="3145"/>
  <c r="P20" i="3145"/>
  <c r="O20" i="3145"/>
  <c r="N20" i="3145"/>
  <c r="H20" i="3145"/>
  <c r="G20" i="3145"/>
  <c r="F20" i="3145"/>
  <c r="P19" i="3145"/>
  <c r="O19" i="3145"/>
  <c r="N19" i="3145"/>
  <c r="H19" i="3145"/>
  <c r="G19" i="3145"/>
  <c r="F19" i="3145"/>
  <c r="H18" i="3145"/>
  <c r="G18" i="3145"/>
  <c r="F18" i="3145"/>
  <c r="H17" i="3145"/>
  <c r="G17" i="3145"/>
  <c r="F17" i="3145"/>
  <c r="H16" i="3145"/>
  <c r="H23" i="3145" s="1"/>
  <c r="G16" i="3145"/>
  <c r="F16" i="3145"/>
  <c r="G9" i="3145"/>
  <c r="E29" i="3145" s="1"/>
  <c r="E9" i="3145"/>
  <c r="F44" i="3144"/>
  <c r="F43" i="3144"/>
  <c r="O30" i="3144"/>
  <c r="O29" i="3144"/>
  <c r="L23" i="3144"/>
  <c r="H44" i="3144" s="1"/>
  <c r="D23" i="3144"/>
  <c r="H43" i="3144" s="1"/>
  <c r="P22" i="3144"/>
  <c r="O22" i="3144"/>
  <c r="N22" i="3144"/>
  <c r="H22" i="3144"/>
  <c r="G22" i="3144"/>
  <c r="F22" i="3144"/>
  <c r="P21" i="3144"/>
  <c r="O21" i="3144"/>
  <c r="N21" i="3144"/>
  <c r="H21" i="3144"/>
  <c r="G21" i="3144"/>
  <c r="F21" i="3144"/>
  <c r="P20" i="3144"/>
  <c r="O20" i="3144"/>
  <c r="N20" i="3144"/>
  <c r="H20" i="3144"/>
  <c r="G20" i="3144"/>
  <c r="F20" i="3144"/>
  <c r="H19" i="3144"/>
  <c r="G19" i="3144"/>
  <c r="F19" i="3144"/>
  <c r="H18" i="3144"/>
  <c r="G18" i="3144"/>
  <c r="F18" i="3144"/>
  <c r="H17" i="3144"/>
  <c r="G17" i="3144"/>
  <c r="F17" i="3144"/>
  <c r="H16" i="3144"/>
  <c r="H23" i="3144" s="1"/>
  <c r="G16" i="3144"/>
  <c r="F16" i="3144"/>
  <c r="G9" i="3144"/>
  <c r="E29" i="3144" s="1"/>
  <c r="E9" i="3144"/>
  <c r="F44" i="3143"/>
  <c r="F43" i="3143"/>
  <c r="O30" i="3143"/>
  <c r="O29" i="3143"/>
  <c r="L23" i="3143"/>
  <c r="H44" i="3143" s="1"/>
  <c r="D23" i="3143"/>
  <c r="H43" i="3143" s="1"/>
  <c r="P22" i="3143"/>
  <c r="O22" i="3143"/>
  <c r="N22" i="3143"/>
  <c r="H22" i="3143"/>
  <c r="G22" i="3143"/>
  <c r="F22" i="3143"/>
  <c r="P21" i="3143"/>
  <c r="O21" i="3143"/>
  <c r="N21" i="3143"/>
  <c r="H21" i="3143"/>
  <c r="G21" i="3143"/>
  <c r="F21" i="3143"/>
  <c r="P20" i="3143"/>
  <c r="O20" i="3143"/>
  <c r="N20" i="3143"/>
  <c r="H20" i="3143"/>
  <c r="G20" i="3143"/>
  <c r="F20" i="3143"/>
  <c r="P19" i="3143"/>
  <c r="O19" i="3143"/>
  <c r="N19" i="3143"/>
  <c r="H19" i="3143"/>
  <c r="G19" i="3143"/>
  <c r="F19" i="3143"/>
  <c r="P18" i="3143"/>
  <c r="O18" i="3143"/>
  <c r="N18" i="3143"/>
  <c r="H18" i="3143"/>
  <c r="G18" i="3143"/>
  <c r="F18" i="3143"/>
  <c r="P17" i="3143"/>
  <c r="O17" i="3143"/>
  <c r="N17" i="3143"/>
  <c r="H17" i="3143"/>
  <c r="G17" i="3143"/>
  <c r="F17" i="3143"/>
  <c r="P16" i="3143"/>
  <c r="O16" i="3143"/>
  <c r="N16" i="3143"/>
  <c r="H16" i="3143"/>
  <c r="H23" i="3143" s="1"/>
  <c r="G16" i="3143"/>
  <c r="F16" i="3143"/>
  <c r="G9" i="3143"/>
  <c r="E29" i="3143" s="1"/>
  <c r="E9" i="3143"/>
  <c r="F44" i="3142"/>
  <c r="F43" i="3142"/>
  <c r="O30" i="3142"/>
  <c r="O29" i="3142"/>
  <c r="L23" i="3142"/>
  <c r="H44" i="3142" s="1"/>
  <c r="D23" i="3142"/>
  <c r="H43" i="3142" s="1"/>
  <c r="P22" i="3142"/>
  <c r="O22" i="3142"/>
  <c r="N22" i="3142"/>
  <c r="H22" i="3142"/>
  <c r="G22" i="3142"/>
  <c r="F22" i="3142"/>
  <c r="P21" i="3142"/>
  <c r="O21" i="3142"/>
  <c r="N21" i="3142"/>
  <c r="H21" i="3142"/>
  <c r="G21" i="3142"/>
  <c r="F21" i="3142"/>
  <c r="P20" i="3142"/>
  <c r="O20" i="3142"/>
  <c r="N20" i="3142"/>
  <c r="H20" i="3142"/>
  <c r="G20" i="3142"/>
  <c r="F20" i="3142"/>
  <c r="H19" i="3142"/>
  <c r="G19" i="3142"/>
  <c r="F19" i="3142"/>
  <c r="H18" i="3142"/>
  <c r="G18" i="3142"/>
  <c r="F18" i="3142"/>
  <c r="H17" i="3142"/>
  <c r="G17" i="3142"/>
  <c r="F17" i="3142"/>
  <c r="H16" i="3142"/>
  <c r="H23" i="3142" s="1"/>
  <c r="G16" i="3142"/>
  <c r="F16" i="3142"/>
  <c r="G9" i="3142"/>
  <c r="E29" i="3142" s="1"/>
  <c r="E9" i="3142"/>
  <c r="F44" i="3141"/>
  <c r="F43" i="3141"/>
  <c r="O30" i="3141"/>
  <c r="O29" i="3141"/>
  <c r="L23" i="3141"/>
  <c r="H44" i="3141" s="1"/>
  <c r="D23" i="3141"/>
  <c r="H43" i="3141" s="1"/>
  <c r="P22" i="3141"/>
  <c r="O22" i="3141"/>
  <c r="N22" i="3141"/>
  <c r="H22" i="3141"/>
  <c r="G22" i="3141"/>
  <c r="F22" i="3141"/>
  <c r="P21" i="3141"/>
  <c r="O21" i="3141"/>
  <c r="N21" i="3141"/>
  <c r="H21" i="3141"/>
  <c r="G21" i="3141"/>
  <c r="F21" i="3141"/>
  <c r="P20" i="3141"/>
  <c r="O20" i="3141"/>
  <c r="N20" i="3141"/>
  <c r="H20" i="3141"/>
  <c r="G20" i="3141"/>
  <c r="F20" i="3141"/>
  <c r="P19" i="3141"/>
  <c r="O19" i="3141"/>
  <c r="N19" i="3141"/>
  <c r="H19" i="3141"/>
  <c r="G19" i="3141"/>
  <c r="F19" i="3141"/>
  <c r="H18" i="3141"/>
  <c r="G18" i="3141"/>
  <c r="F18" i="3141"/>
  <c r="H17" i="3141"/>
  <c r="G17" i="3141"/>
  <c r="F17" i="3141"/>
  <c r="H16" i="3141"/>
  <c r="H23" i="3141" s="1"/>
  <c r="G16" i="3141"/>
  <c r="F16" i="3141"/>
  <c r="G9" i="3141"/>
  <c r="E29" i="3141" s="1"/>
  <c r="E9" i="3141"/>
  <c r="F44" i="3140"/>
  <c r="F43" i="3140"/>
  <c r="O30" i="3140"/>
  <c r="O29" i="3140"/>
  <c r="L23" i="3140"/>
  <c r="H44" i="3140" s="1"/>
  <c r="D23" i="3140"/>
  <c r="H43" i="3140" s="1"/>
  <c r="P22" i="3140"/>
  <c r="O22" i="3140"/>
  <c r="N22" i="3140"/>
  <c r="H22" i="3140"/>
  <c r="G22" i="3140"/>
  <c r="F22" i="3140"/>
  <c r="P21" i="3140"/>
  <c r="O21" i="3140"/>
  <c r="N21" i="3140"/>
  <c r="H21" i="3140"/>
  <c r="G21" i="3140"/>
  <c r="F21" i="3140"/>
  <c r="P20" i="3140"/>
  <c r="O20" i="3140"/>
  <c r="N20" i="3140"/>
  <c r="H20" i="3140"/>
  <c r="G20" i="3140"/>
  <c r="F20" i="3140"/>
  <c r="P19" i="3140"/>
  <c r="O19" i="3140"/>
  <c r="N19" i="3140"/>
  <c r="H19" i="3140"/>
  <c r="G19" i="3140"/>
  <c r="F19" i="3140"/>
  <c r="H18" i="3140"/>
  <c r="G18" i="3140"/>
  <c r="F18" i="3140"/>
  <c r="H17" i="3140"/>
  <c r="G17" i="3140"/>
  <c r="F17" i="3140"/>
  <c r="H16" i="3140"/>
  <c r="H23" i="3140" s="1"/>
  <c r="G16" i="3140"/>
  <c r="F16" i="3140"/>
  <c r="G9" i="3140"/>
  <c r="E29" i="3140" s="1"/>
  <c r="E9" i="3140"/>
  <c r="F44" i="3139"/>
  <c r="F43" i="3139"/>
  <c r="O30" i="3139"/>
  <c r="O29" i="3139"/>
  <c r="L23" i="3139"/>
  <c r="H44" i="3139" s="1"/>
  <c r="D23" i="3139"/>
  <c r="H43" i="3139" s="1"/>
  <c r="P22" i="3139"/>
  <c r="O22" i="3139"/>
  <c r="N22" i="3139"/>
  <c r="H22" i="3139"/>
  <c r="G22" i="3139"/>
  <c r="F22" i="3139"/>
  <c r="P21" i="3139"/>
  <c r="O21" i="3139"/>
  <c r="N21" i="3139"/>
  <c r="H21" i="3139"/>
  <c r="G21" i="3139"/>
  <c r="F21" i="3139"/>
  <c r="P20" i="3139"/>
  <c r="O20" i="3139"/>
  <c r="N20" i="3139"/>
  <c r="H20" i="3139"/>
  <c r="G20" i="3139"/>
  <c r="F20" i="3139"/>
  <c r="P19" i="3139"/>
  <c r="O19" i="3139"/>
  <c r="N19" i="3139"/>
  <c r="H19" i="3139"/>
  <c r="G19" i="3139"/>
  <c r="F19" i="3139"/>
  <c r="P18" i="3139"/>
  <c r="O18" i="3139"/>
  <c r="N18" i="3139"/>
  <c r="H18" i="3139"/>
  <c r="G18" i="3139"/>
  <c r="F18" i="3139"/>
  <c r="H17" i="3139"/>
  <c r="G17" i="3139"/>
  <c r="F17" i="3139"/>
  <c r="H16" i="3139"/>
  <c r="H23" i="3139" s="1"/>
  <c r="G16" i="3139"/>
  <c r="F16" i="3139"/>
  <c r="G9" i="3139"/>
  <c r="E29" i="3139" s="1"/>
  <c r="E9" i="3139"/>
  <c r="F44" i="3138"/>
  <c r="F43" i="3138"/>
  <c r="O30" i="3138"/>
  <c r="O29" i="3138"/>
  <c r="L23" i="3138"/>
  <c r="H44" i="3138" s="1"/>
  <c r="D23" i="3138"/>
  <c r="H43" i="3138" s="1"/>
  <c r="P22" i="3138"/>
  <c r="O22" i="3138"/>
  <c r="N22" i="3138"/>
  <c r="H22" i="3138"/>
  <c r="G22" i="3138"/>
  <c r="F22" i="3138"/>
  <c r="P21" i="3138"/>
  <c r="O21" i="3138"/>
  <c r="N21" i="3138"/>
  <c r="H21" i="3138"/>
  <c r="G21" i="3138"/>
  <c r="F21" i="3138"/>
  <c r="P20" i="3138"/>
  <c r="O20" i="3138"/>
  <c r="N20" i="3138"/>
  <c r="H20" i="3138"/>
  <c r="G20" i="3138"/>
  <c r="F20" i="3138"/>
  <c r="P19" i="3138"/>
  <c r="O19" i="3138"/>
  <c r="N19" i="3138"/>
  <c r="H19" i="3138"/>
  <c r="G19" i="3138"/>
  <c r="F19" i="3138"/>
  <c r="P18" i="3138"/>
  <c r="O18" i="3138"/>
  <c r="N18" i="3138"/>
  <c r="H18" i="3138"/>
  <c r="G18" i="3138"/>
  <c r="F18" i="3138"/>
  <c r="P17" i="3138"/>
  <c r="O17" i="3138"/>
  <c r="N17" i="3138"/>
  <c r="H17" i="3138"/>
  <c r="G17" i="3138"/>
  <c r="F17" i="3138"/>
  <c r="P16" i="3138"/>
  <c r="O16" i="3138"/>
  <c r="N16" i="3138"/>
  <c r="H16" i="3138"/>
  <c r="H23" i="3138" s="1"/>
  <c r="G16" i="3138"/>
  <c r="F16" i="3138"/>
  <c r="G9" i="3138"/>
  <c r="E29" i="3138" s="1"/>
  <c r="E9" i="3138"/>
  <c r="F44" i="3137"/>
  <c r="F43" i="3137"/>
  <c r="O30" i="3137"/>
  <c r="O29" i="3137"/>
  <c r="L23" i="3137"/>
  <c r="H44" i="3137" s="1"/>
  <c r="D23" i="3137"/>
  <c r="H43" i="3137" s="1"/>
  <c r="P22" i="3137"/>
  <c r="O22" i="3137"/>
  <c r="N22" i="3137"/>
  <c r="H22" i="3137"/>
  <c r="G22" i="3137"/>
  <c r="F22" i="3137"/>
  <c r="P21" i="3137"/>
  <c r="O21" i="3137"/>
  <c r="N21" i="3137"/>
  <c r="H21" i="3137"/>
  <c r="G21" i="3137"/>
  <c r="F21" i="3137"/>
  <c r="P20" i="3137"/>
  <c r="O20" i="3137"/>
  <c r="N20" i="3137"/>
  <c r="H20" i="3137"/>
  <c r="G20" i="3137"/>
  <c r="F20" i="3137"/>
  <c r="P19" i="3137"/>
  <c r="O19" i="3137"/>
  <c r="N19" i="3137"/>
  <c r="H19" i="3137"/>
  <c r="G19" i="3137"/>
  <c r="F19" i="3137"/>
  <c r="P18" i="3137"/>
  <c r="O18" i="3137"/>
  <c r="N18" i="3137"/>
  <c r="H18" i="3137"/>
  <c r="G18" i="3137"/>
  <c r="F18" i="3137"/>
  <c r="P17" i="3137"/>
  <c r="O17" i="3137"/>
  <c r="N17" i="3137"/>
  <c r="H17" i="3137"/>
  <c r="G17" i="3137"/>
  <c r="F17" i="3137"/>
  <c r="P16" i="3137"/>
  <c r="O16" i="3137"/>
  <c r="N16" i="3137"/>
  <c r="H16" i="3137"/>
  <c r="H23" i="3137" s="1"/>
  <c r="G16" i="3137"/>
  <c r="F16" i="3137"/>
  <c r="G9" i="3137"/>
  <c r="E29" i="3137" s="1"/>
  <c r="E9" i="3137"/>
  <c r="F44" i="3136"/>
  <c r="F43" i="3136"/>
  <c r="O30" i="3136"/>
  <c r="O29" i="3136"/>
  <c r="L23" i="3136"/>
  <c r="H44" i="3136" s="1"/>
  <c r="D23" i="3136"/>
  <c r="H43" i="3136" s="1"/>
  <c r="P22" i="3136"/>
  <c r="O22" i="3136"/>
  <c r="N22" i="3136"/>
  <c r="H22" i="3136"/>
  <c r="G22" i="3136"/>
  <c r="F22" i="3136"/>
  <c r="P21" i="3136"/>
  <c r="O21" i="3136"/>
  <c r="N21" i="3136"/>
  <c r="H21" i="3136"/>
  <c r="G21" i="3136"/>
  <c r="F21" i="3136"/>
  <c r="P20" i="3136"/>
  <c r="O20" i="3136"/>
  <c r="N20" i="3136"/>
  <c r="H20" i="3136"/>
  <c r="G20" i="3136"/>
  <c r="F20" i="3136"/>
  <c r="P19" i="3136"/>
  <c r="O19" i="3136"/>
  <c r="N19" i="3136"/>
  <c r="H19" i="3136"/>
  <c r="G19" i="3136"/>
  <c r="F19" i="3136"/>
  <c r="P18" i="3136"/>
  <c r="O18" i="3136"/>
  <c r="N18" i="3136"/>
  <c r="H18" i="3136"/>
  <c r="G18" i="3136"/>
  <c r="F18" i="3136"/>
  <c r="P17" i="3136"/>
  <c r="O17" i="3136"/>
  <c r="N17" i="3136"/>
  <c r="H17" i="3136"/>
  <c r="G17" i="3136"/>
  <c r="F17" i="3136"/>
  <c r="P16" i="3136"/>
  <c r="O16" i="3136"/>
  <c r="N16" i="3136"/>
  <c r="H16" i="3136"/>
  <c r="H23" i="3136" s="1"/>
  <c r="G16" i="3136"/>
  <c r="F16" i="3136"/>
  <c r="G9" i="3136"/>
  <c r="E29" i="3136" s="1"/>
  <c r="E9" i="3136"/>
  <c r="F44" i="3135"/>
  <c r="F43" i="3135"/>
  <c r="O30" i="3135"/>
  <c r="O29" i="3135"/>
  <c r="L23" i="3135"/>
  <c r="H44" i="3135" s="1"/>
  <c r="D23" i="3135"/>
  <c r="H43" i="3135" s="1"/>
  <c r="P22" i="3135"/>
  <c r="O22" i="3135"/>
  <c r="N22" i="3135"/>
  <c r="H22" i="3135"/>
  <c r="G22" i="3135"/>
  <c r="F22" i="3135"/>
  <c r="P21" i="3135"/>
  <c r="O21" i="3135"/>
  <c r="N21" i="3135"/>
  <c r="H21" i="3135"/>
  <c r="G21" i="3135"/>
  <c r="F21" i="3135"/>
  <c r="P20" i="3135"/>
  <c r="O20" i="3135"/>
  <c r="N20" i="3135"/>
  <c r="H20" i="3135"/>
  <c r="G20" i="3135"/>
  <c r="F20" i="3135"/>
  <c r="H19" i="3135"/>
  <c r="G19" i="3135"/>
  <c r="F19" i="3135"/>
  <c r="H18" i="3135"/>
  <c r="G18" i="3135"/>
  <c r="F18" i="3135"/>
  <c r="H17" i="3135"/>
  <c r="G17" i="3135"/>
  <c r="F17" i="3135"/>
  <c r="H16" i="3135"/>
  <c r="H23" i="3135" s="1"/>
  <c r="G16" i="3135"/>
  <c r="F16" i="3135"/>
  <c r="G9" i="3135"/>
  <c r="E29" i="3135" s="1"/>
  <c r="E9" i="3135"/>
  <c r="F44" i="3134"/>
  <c r="F43" i="3134"/>
  <c r="O30" i="3134"/>
  <c r="O29" i="3134"/>
  <c r="L23" i="3134"/>
  <c r="H44" i="3134" s="1"/>
  <c r="D23" i="3134"/>
  <c r="H43" i="3134" s="1"/>
  <c r="P22" i="3134"/>
  <c r="O22" i="3134"/>
  <c r="N22" i="3134"/>
  <c r="H22" i="3134"/>
  <c r="G22" i="3134"/>
  <c r="F22" i="3134"/>
  <c r="P21" i="3134"/>
  <c r="O21" i="3134"/>
  <c r="N21" i="3134"/>
  <c r="H21" i="3134"/>
  <c r="G21" i="3134"/>
  <c r="F21" i="3134"/>
  <c r="P20" i="3134"/>
  <c r="O20" i="3134"/>
  <c r="N20" i="3134"/>
  <c r="H20" i="3134"/>
  <c r="G20" i="3134"/>
  <c r="F20" i="3134"/>
  <c r="H19" i="3134"/>
  <c r="G19" i="3134"/>
  <c r="F19" i="3134"/>
  <c r="H18" i="3134"/>
  <c r="G18" i="3134"/>
  <c r="F18" i="3134"/>
  <c r="H17" i="3134"/>
  <c r="G17" i="3134"/>
  <c r="F17" i="3134"/>
  <c r="H16" i="3134"/>
  <c r="H23" i="3134" s="1"/>
  <c r="G16" i="3134"/>
  <c r="F16" i="3134"/>
  <c r="G9" i="3134"/>
  <c r="E29" i="3134" s="1"/>
  <c r="E9" i="3134"/>
  <c r="F44" i="3133"/>
  <c r="F43" i="3133"/>
  <c r="O30" i="3133"/>
  <c r="O29" i="3133"/>
  <c r="L23" i="3133"/>
  <c r="H44" i="3133" s="1"/>
  <c r="D23" i="3133"/>
  <c r="H43" i="3133" s="1"/>
  <c r="P22" i="3133"/>
  <c r="O22" i="3133"/>
  <c r="N22" i="3133"/>
  <c r="H22" i="3133"/>
  <c r="G22" i="3133"/>
  <c r="F22" i="3133"/>
  <c r="P21" i="3133"/>
  <c r="O21" i="3133"/>
  <c r="N21" i="3133"/>
  <c r="H21" i="3133"/>
  <c r="G21" i="3133"/>
  <c r="F21" i="3133"/>
  <c r="P20" i="3133"/>
  <c r="O20" i="3133"/>
  <c r="N20" i="3133"/>
  <c r="H20" i="3133"/>
  <c r="G20" i="3133"/>
  <c r="F20" i="3133"/>
  <c r="P19" i="3133"/>
  <c r="O19" i="3133"/>
  <c r="N19" i="3133"/>
  <c r="H19" i="3133"/>
  <c r="G19" i="3133"/>
  <c r="F19" i="3133"/>
  <c r="P18" i="3133"/>
  <c r="O18" i="3133"/>
  <c r="N18" i="3133"/>
  <c r="H18" i="3133"/>
  <c r="G18" i="3133"/>
  <c r="F18" i="3133"/>
  <c r="P17" i="3133"/>
  <c r="O17" i="3133"/>
  <c r="N17" i="3133"/>
  <c r="H17" i="3133"/>
  <c r="G17" i="3133"/>
  <c r="F17" i="3133"/>
  <c r="P16" i="3133"/>
  <c r="O16" i="3133"/>
  <c r="N16" i="3133"/>
  <c r="H16" i="3133"/>
  <c r="H23" i="3133" s="1"/>
  <c r="G16" i="3133"/>
  <c r="F16" i="3133"/>
  <c r="G9" i="3133"/>
  <c r="E29" i="3133" s="1"/>
  <c r="E9" i="3133"/>
  <c r="F44" i="3132"/>
  <c r="F43" i="3132"/>
  <c r="O30" i="3132"/>
  <c r="O29" i="3132"/>
  <c r="L23" i="3132"/>
  <c r="H44" i="3132" s="1"/>
  <c r="D23" i="3132"/>
  <c r="H43" i="3132" s="1"/>
  <c r="P22" i="3132"/>
  <c r="O22" i="3132"/>
  <c r="N22" i="3132"/>
  <c r="H22" i="3132"/>
  <c r="G22" i="3132"/>
  <c r="F22" i="3132"/>
  <c r="P21" i="3132"/>
  <c r="O21" i="3132"/>
  <c r="N21" i="3132"/>
  <c r="H21" i="3132"/>
  <c r="G21" i="3132"/>
  <c r="F21" i="3132"/>
  <c r="P20" i="3132"/>
  <c r="O20" i="3132"/>
  <c r="N20" i="3132"/>
  <c r="H20" i="3132"/>
  <c r="G20" i="3132"/>
  <c r="F20" i="3132"/>
  <c r="P19" i="3132"/>
  <c r="O19" i="3132"/>
  <c r="N19" i="3132"/>
  <c r="H19" i="3132"/>
  <c r="G19" i="3132"/>
  <c r="F19" i="3132"/>
  <c r="N18" i="3132"/>
  <c r="O18" i="3132" s="1"/>
  <c r="P18" i="3132" s="1"/>
  <c r="H18" i="3132"/>
  <c r="G18" i="3132"/>
  <c r="F18" i="3132"/>
  <c r="H17" i="3132"/>
  <c r="G17" i="3132"/>
  <c r="F17" i="3132"/>
  <c r="H16" i="3132"/>
  <c r="H23" i="3132" s="1"/>
  <c r="G16" i="3132"/>
  <c r="F16" i="3132"/>
  <c r="G9" i="3132"/>
  <c r="E29" i="3132" s="1"/>
  <c r="E9" i="3132"/>
  <c r="F44" i="3131"/>
  <c r="F43" i="3131"/>
  <c r="O30" i="3131"/>
  <c r="O29" i="3131"/>
  <c r="L23" i="3131"/>
  <c r="H44" i="3131" s="1"/>
  <c r="D23" i="3131"/>
  <c r="H43" i="3131" s="1"/>
  <c r="P22" i="3131"/>
  <c r="O22" i="3131"/>
  <c r="N22" i="3131"/>
  <c r="H22" i="3131"/>
  <c r="G22" i="3131"/>
  <c r="F22" i="3131"/>
  <c r="P21" i="3131"/>
  <c r="O21" i="3131"/>
  <c r="N21" i="3131"/>
  <c r="H21" i="3131"/>
  <c r="G21" i="3131"/>
  <c r="F21" i="3131"/>
  <c r="P20" i="3131"/>
  <c r="O20" i="3131"/>
  <c r="N20" i="3131"/>
  <c r="H20" i="3131"/>
  <c r="G20" i="3131"/>
  <c r="F20" i="3131"/>
  <c r="P19" i="3131"/>
  <c r="O19" i="3131"/>
  <c r="N19" i="3131"/>
  <c r="H19" i="3131"/>
  <c r="G19" i="3131"/>
  <c r="F19" i="3131"/>
  <c r="P18" i="3131"/>
  <c r="O18" i="3131"/>
  <c r="N18" i="3131"/>
  <c r="H18" i="3131"/>
  <c r="G18" i="3131"/>
  <c r="F18" i="3131"/>
  <c r="H17" i="3131"/>
  <c r="G17" i="3131"/>
  <c r="F17" i="3131"/>
  <c r="H16" i="3131"/>
  <c r="H23" i="3131" s="1"/>
  <c r="G16" i="3131"/>
  <c r="F16" i="3131"/>
  <c r="G9" i="3131"/>
  <c r="E29" i="3131" s="1"/>
  <c r="E9" i="3131"/>
  <c r="F44" i="3130"/>
  <c r="F43" i="3130"/>
  <c r="O30" i="3130"/>
  <c r="O29" i="3130"/>
  <c r="L23" i="3130"/>
  <c r="H44" i="3130" s="1"/>
  <c r="D23" i="3130"/>
  <c r="H43" i="3130" s="1"/>
  <c r="P22" i="3130"/>
  <c r="O22" i="3130"/>
  <c r="N22" i="3130"/>
  <c r="H22" i="3130"/>
  <c r="G22" i="3130"/>
  <c r="F22" i="3130"/>
  <c r="P21" i="3130"/>
  <c r="O21" i="3130"/>
  <c r="N21" i="3130"/>
  <c r="H21" i="3130"/>
  <c r="G21" i="3130"/>
  <c r="F21" i="3130"/>
  <c r="P20" i="3130"/>
  <c r="O20" i="3130"/>
  <c r="N20" i="3130"/>
  <c r="H20" i="3130"/>
  <c r="G20" i="3130"/>
  <c r="F20" i="3130"/>
  <c r="P19" i="3130"/>
  <c r="O19" i="3130"/>
  <c r="N19" i="3130"/>
  <c r="H19" i="3130"/>
  <c r="G19" i="3130"/>
  <c r="F19" i="3130"/>
  <c r="P18" i="3130"/>
  <c r="O18" i="3130"/>
  <c r="N18" i="3130"/>
  <c r="H18" i="3130"/>
  <c r="G18" i="3130"/>
  <c r="F18" i="3130"/>
  <c r="H17" i="3130"/>
  <c r="G17" i="3130"/>
  <c r="F17" i="3130"/>
  <c r="H16" i="3130"/>
  <c r="H23" i="3130" s="1"/>
  <c r="G16" i="3130"/>
  <c r="F16" i="3130"/>
  <c r="G9" i="3130"/>
  <c r="E29" i="3130" s="1"/>
  <c r="E9" i="3130"/>
  <c r="F44" i="3129"/>
  <c r="F43" i="3129"/>
  <c r="O30" i="3129"/>
  <c r="O29" i="3129"/>
  <c r="L23" i="3129"/>
  <c r="H44" i="3129" s="1"/>
  <c r="D23" i="3129"/>
  <c r="H43" i="3129" s="1"/>
  <c r="P22" i="3129"/>
  <c r="O22" i="3129"/>
  <c r="N22" i="3129"/>
  <c r="H22" i="3129"/>
  <c r="G22" i="3129"/>
  <c r="F22" i="3129"/>
  <c r="P21" i="3129"/>
  <c r="O21" i="3129"/>
  <c r="N21" i="3129"/>
  <c r="H21" i="3129"/>
  <c r="G21" i="3129"/>
  <c r="F21" i="3129"/>
  <c r="P20" i="3129"/>
  <c r="O20" i="3129"/>
  <c r="N20" i="3129"/>
  <c r="H20" i="3129"/>
  <c r="G20" i="3129"/>
  <c r="F20" i="3129"/>
  <c r="P19" i="3129"/>
  <c r="O19" i="3129"/>
  <c r="N19" i="3129"/>
  <c r="H19" i="3129"/>
  <c r="G19" i="3129"/>
  <c r="F19" i="3129"/>
  <c r="P18" i="3129"/>
  <c r="O18" i="3129"/>
  <c r="N18" i="3129"/>
  <c r="H18" i="3129"/>
  <c r="G18" i="3129"/>
  <c r="F18" i="3129"/>
  <c r="P17" i="3129"/>
  <c r="O17" i="3129"/>
  <c r="N17" i="3129"/>
  <c r="H17" i="3129"/>
  <c r="G17" i="3129"/>
  <c r="F17" i="3129"/>
  <c r="H16" i="3129"/>
  <c r="H23" i="3129" s="1"/>
  <c r="G16" i="3129"/>
  <c r="F16" i="3129"/>
  <c r="G9" i="3129"/>
  <c r="E29" i="3129" s="1"/>
  <c r="E9" i="3129"/>
  <c r="F44" i="3128"/>
  <c r="F43" i="3128"/>
  <c r="O30" i="3128"/>
  <c r="O29" i="3128"/>
  <c r="L23" i="3128"/>
  <c r="H44" i="3128" s="1"/>
  <c r="D23" i="3128"/>
  <c r="H43" i="3128" s="1"/>
  <c r="P22" i="3128"/>
  <c r="O22" i="3128"/>
  <c r="N22" i="3128"/>
  <c r="H22" i="3128"/>
  <c r="G22" i="3128"/>
  <c r="F22" i="3128"/>
  <c r="P21" i="3128"/>
  <c r="O21" i="3128"/>
  <c r="N21" i="3128"/>
  <c r="H21" i="3128"/>
  <c r="G21" i="3128"/>
  <c r="F21" i="3128"/>
  <c r="P20" i="3128"/>
  <c r="O20" i="3128"/>
  <c r="N20" i="3128"/>
  <c r="H20" i="3128"/>
  <c r="G20" i="3128"/>
  <c r="F20" i="3128"/>
  <c r="P19" i="3128"/>
  <c r="O19" i="3128"/>
  <c r="N19" i="3128"/>
  <c r="H19" i="3128"/>
  <c r="G19" i="3128"/>
  <c r="F19" i="3128"/>
  <c r="P18" i="3128"/>
  <c r="O18" i="3128"/>
  <c r="N18" i="3128"/>
  <c r="H18" i="3128"/>
  <c r="G18" i="3128"/>
  <c r="F18" i="3128"/>
  <c r="P17" i="3128"/>
  <c r="O17" i="3128"/>
  <c r="N17" i="3128"/>
  <c r="H17" i="3128"/>
  <c r="G17" i="3128"/>
  <c r="F17" i="3128"/>
  <c r="H16" i="3128"/>
  <c r="H23" i="3128" s="1"/>
  <c r="G16" i="3128"/>
  <c r="F16" i="3128"/>
  <c r="G9" i="3128"/>
  <c r="E29" i="3128" s="1"/>
  <c r="E9" i="3128"/>
  <c r="O44" i="3127"/>
  <c r="F44" i="3127"/>
  <c r="F43" i="3127"/>
  <c r="O30" i="3127"/>
  <c r="O29" i="3127"/>
  <c r="L23" i="3127"/>
  <c r="H44" i="3127" s="1"/>
  <c r="D23" i="3127"/>
  <c r="H43" i="3127" s="1"/>
  <c r="P22" i="3127"/>
  <c r="O22" i="3127"/>
  <c r="N22" i="3127"/>
  <c r="H22" i="3127"/>
  <c r="G22" i="3127"/>
  <c r="F22" i="3127"/>
  <c r="P21" i="3127"/>
  <c r="O21" i="3127"/>
  <c r="N21" i="3127"/>
  <c r="H21" i="3127"/>
  <c r="G21" i="3127"/>
  <c r="F21" i="3127"/>
  <c r="P20" i="3127"/>
  <c r="O20" i="3127"/>
  <c r="N20" i="3127"/>
  <c r="H20" i="3127"/>
  <c r="G20" i="3127"/>
  <c r="F20" i="3127"/>
  <c r="P19" i="3127"/>
  <c r="O19" i="3127"/>
  <c r="N19" i="3127"/>
  <c r="H19" i="3127"/>
  <c r="G19" i="3127"/>
  <c r="F19" i="3127"/>
  <c r="P18" i="3127"/>
  <c r="O18" i="3127"/>
  <c r="N18" i="3127"/>
  <c r="H18" i="3127"/>
  <c r="G18" i="3127"/>
  <c r="F18" i="3127"/>
  <c r="P17" i="3127"/>
  <c r="O17" i="3127"/>
  <c r="N17" i="3127"/>
  <c r="H17" i="3127"/>
  <c r="G17" i="3127"/>
  <c r="F17" i="3127"/>
  <c r="H16" i="3127"/>
  <c r="H23" i="3127" s="1"/>
  <c r="G16" i="3127"/>
  <c r="F16" i="3127"/>
  <c r="G9" i="3127"/>
  <c r="E29" i="3127" s="1"/>
  <c r="E9" i="3127"/>
  <c r="C29" i="3127" s="1"/>
  <c r="P23" i="3150" l="1"/>
  <c r="C36" i="3172"/>
  <c r="G29" i="3172"/>
  <c r="E36" i="3172" s="1"/>
  <c r="G36" i="3172" s="1"/>
  <c r="N43" i="3172" s="1"/>
  <c r="C36" i="3171"/>
  <c r="G29" i="3171"/>
  <c r="E36" i="3171" s="1"/>
  <c r="G36" i="3171" s="1"/>
  <c r="N43" i="3171" s="1"/>
  <c r="C36" i="3170"/>
  <c r="G29" i="3170"/>
  <c r="E36" i="3170" s="1"/>
  <c r="G36" i="3170" s="1"/>
  <c r="N43" i="3170" s="1"/>
  <c r="C36" i="3169"/>
  <c r="G29" i="3169"/>
  <c r="E36" i="3169" s="1"/>
  <c r="G36" i="3169" s="1"/>
  <c r="N43" i="3169" s="1"/>
  <c r="C36" i="3168"/>
  <c r="G29" i="3168"/>
  <c r="E36" i="3168" s="1"/>
  <c r="G36" i="3168" s="1"/>
  <c r="N43" i="3168" s="1"/>
  <c r="C36" i="3167"/>
  <c r="G29" i="3167"/>
  <c r="E36" i="3167" s="1"/>
  <c r="G36" i="3167" s="1"/>
  <c r="N43" i="3167" s="1"/>
  <c r="C36" i="3166"/>
  <c r="G29" i="3166"/>
  <c r="E36" i="3166" s="1"/>
  <c r="G36" i="3166" s="1"/>
  <c r="N43" i="3166" s="1"/>
  <c r="C36" i="3165"/>
  <c r="G29" i="3165"/>
  <c r="E36" i="3165" s="1"/>
  <c r="G36" i="3165" s="1"/>
  <c r="N43" i="3165" s="1"/>
  <c r="C36" i="3164"/>
  <c r="G29" i="3164"/>
  <c r="E36" i="3164" s="1"/>
  <c r="G36" i="3164" s="1"/>
  <c r="N43" i="3164" s="1"/>
  <c r="C36" i="3163"/>
  <c r="G29" i="3163"/>
  <c r="E36" i="3163" s="1"/>
  <c r="G36" i="3163" s="1"/>
  <c r="N43" i="3163" s="1"/>
  <c r="C36" i="3162"/>
  <c r="G29" i="3162"/>
  <c r="E36" i="3162" s="1"/>
  <c r="G36" i="3162" s="1"/>
  <c r="N43" i="3162" s="1"/>
  <c r="C36" i="3161"/>
  <c r="G29" i="3161"/>
  <c r="E36" i="3161" s="1"/>
  <c r="G36" i="3161" s="1"/>
  <c r="N43" i="3161" s="1"/>
  <c r="C36" i="3160"/>
  <c r="G29" i="3160"/>
  <c r="E36" i="3160" s="1"/>
  <c r="G36" i="3160" s="1"/>
  <c r="N43" i="3160" s="1"/>
  <c r="C36" i="3159"/>
  <c r="G29" i="3159"/>
  <c r="E36" i="3159" s="1"/>
  <c r="G36" i="3159" s="1"/>
  <c r="N43" i="3159" s="1"/>
  <c r="C36" i="3158"/>
  <c r="G29" i="3158"/>
  <c r="E36" i="3158" s="1"/>
  <c r="G36" i="3158" s="1"/>
  <c r="N43" i="3158" s="1"/>
  <c r="C36" i="3157"/>
  <c r="G29" i="3157"/>
  <c r="E36" i="3157" s="1"/>
  <c r="G36" i="3157" s="1"/>
  <c r="N43" i="3157" s="1"/>
  <c r="C36" i="3156"/>
  <c r="G29" i="3156"/>
  <c r="E36" i="3156" s="1"/>
  <c r="G36" i="3156" s="1"/>
  <c r="N43" i="3156" s="1"/>
  <c r="C36" i="3155"/>
  <c r="G29" i="3155"/>
  <c r="E36" i="3155" s="1"/>
  <c r="G36" i="3155" s="1"/>
  <c r="N43" i="3155" s="1"/>
  <c r="C36" i="3154"/>
  <c r="G29" i="3154"/>
  <c r="E36" i="3154" s="1"/>
  <c r="G36" i="3154" s="1"/>
  <c r="N43" i="3154" s="1"/>
  <c r="C36" i="3153"/>
  <c r="G29" i="3153"/>
  <c r="E36" i="3153" s="1"/>
  <c r="G36" i="3153" s="1"/>
  <c r="N43" i="3153" s="1"/>
  <c r="C36" i="3152"/>
  <c r="G29" i="3152"/>
  <c r="E36" i="3152" s="1"/>
  <c r="G36" i="3152" s="1"/>
  <c r="N43" i="3152" s="1"/>
  <c r="C36" i="3151"/>
  <c r="G29" i="3151"/>
  <c r="E36" i="3151" s="1"/>
  <c r="G36" i="3151" s="1"/>
  <c r="N43" i="3151" s="1"/>
  <c r="C36" i="3150"/>
  <c r="G29" i="3150"/>
  <c r="E36" i="3150" s="1"/>
  <c r="G36" i="3150" s="1"/>
  <c r="N43" i="3150" s="1"/>
  <c r="P23" i="3143"/>
  <c r="P23" i="3138"/>
  <c r="P23" i="3133"/>
  <c r="P23" i="3136"/>
  <c r="P23" i="3137"/>
  <c r="C43" i="3148"/>
  <c r="K43" i="3148" s="1"/>
  <c r="M43" i="3148" s="1"/>
  <c r="C29" i="3148"/>
  <c r="N16" i="3148"/>
  <c r="O16" i="3148" s="1"/>
  <c r="P16" i="3148" s="1"/>
  <c r="P23" i="3148" s="1"/>
  <c r="C43" i="3147"/>
  <c r="K43" i="3147" s="1"/>
  <c r="M43" i="3147" s="1"/>
  <c r="C29" i="3147"/>
  <c r="C43" i="3146"/>
  <c r="K43" i="3146" s="1"/>
  <c r="M43" i="3146" s="1"/>
  <c r="C29" i="3146"/>
  <c r="C43" i="3145"/>
  <c r="K43" i="3145" s="1"/>
  <c r="M43" i="3145" s="1"/>
  <c r="C29" i="3145"/>
  <c r="N18" i="3145"/>
  <c r="O18" i="3145" s="1"/>
  <c r="P18" i="3145" s="1"/>
  <c r="N17" i="3145"/>
  <c r="O17" i="3145" s="1"/>
  <c r="P17" i="3145" s="1"/>
  <c r="C43" i="3144"/>
  <c r="K43" i="3144" s="1"/>
  <c r="M43" i="3144" s="1"/>
  <c r="C29" i="3144"/>
  <c r="N19" i="3144"/>
  <c r="O19" i="3144" s="1"/>
  <c r="P19" i="3144" s="1"/>
  <c r="C43" i="3143"/>
  <c r="K43" i="3143" s="1"/>
  <c r="M43" i="3143" s="1"/>
  <c r="C29" i="3143"/>
  <c r="C43" i="3142"/>
  <c r="K43" i="3142" s="1"/>
  <c r="M43" i="3142" s="1"/>
  <c r="C29" i="3142"/>
  <c r="C43" i="3141"/>
  <c r="K43" i="3141" s="1"/>
  <c r="M43" i="3141" s="1"/>
  <c r="C29" i="3141"/>
  <c r="N18" i="3141"/>
  <c r="O18" i="3141" s="1"/>
  <c r="P18" i="3141" s="1"/>
  <c r="N17" i="3141"/>
  <c r="O17" i="3141" s="1"/>
  <c r="P17" i="3141" s="1"/>
  <c r="N16" i="3141"/>
  <c r="O16" i="3141" s="1"/>
  <c r="P16" i="3141" s="1"/>
  <c r="C43" i="3140"/>
  <c r="K43" i="3140" s="1"/>
  <c r="M43" i="3140" s="1"/>
  <c r="C29" i="3140"/>
  <c r="C43" i="3139"/>
  <c r="K43" i="3139" s="1"/>
  <c r="M43" i="3139" s="1"/>
  <c r="C29" i="3139"/>
  <c r="C43" i="3138"/>
  <c r="K43" i="3138" s="1"/>
  <c r="M43" i="3138" s="1"/>
  <c r="C29" i="3138"/>
  <c r="C43" i="3137"/>
  <c r="K43" i="3137" s="1"/>
  <c r="M43" i="3137" s="1"/>
  <c r="C29" i="3137"/>
  <c r="C43" i="3136"/>
  <c r="K43" i="3136" s="1"/>
  <c r="M43" i="3136" s="1"/>
  <c r="C29" i="3136"/>
  <c r="C43" i="3135"/>
  <c r="K43" i="3135" s="1"/>
  <c r="M43" i="3135" s="1"/>
  <c r="C29" i="3135"/>
  <c r="N19" i="3135"/>
  <c r="O19" i="3135" s="1"/>
  <c r="P19" i="3135" s="1"/>
  <c r="N18" i="3135"/>
  <c r="O18" i="3135" s="1"/>
  <c r="P18" i="3135" s="1"/>
  <c r="N17" i="3135"/>
  <c r="O17" i="3135" s="1"/>
  <c r="P17" i="3135" s="1"/>
  <c r="N16" i="3135"/>
  <c r="O16" i="3135" s="1"/>
  <c r="P16" i="3135" s="1"/>
  <c r="C43" i="3134"/>
  <c r="K43" i="3134" s="1"/>
  <c r="M43" i="3134" s="1"/>
  <c r="C29" i="3134"/>
  <c r="C43" i="3133"/>
  <c r="K43" i="3133" s="1"/>
  <c r="M43" i="3133" s="1"/>
  <c r="C29" i="3133"/>
  <c r="C43" i="3132"/>
  <c r="K43" i="3132" s="1"/>
  <c r="M43" i="3132" s="1"/>
  <c r="C29" i="3132"/>
  <c r="C43" i="3131"/>
  <c r="K43" i="3131" s="1"/>
  <c r="M43" i="3131" s="1"/>
  <c r="C29" i="3131"/>
  <c r="N17" i="3131"/>
  <c r="O17" i="3131" s="1"/>
  <c r="P17" i="3131" s="1"/>
  <c r="N16" i="3131"/>
  <c r="O16" i="3131" s="1"/>
  <c r="P16" i="3131" s="1"/>
  <c r="P23" i="3131" s="1"/>
  <c r="C43" i="3130"/>
  <c r="K43" i="3130" s="1"/>
  <c r="M43" i="3130" s="1"/>
  <c r="C29" i="3130"/>
  <c r="C43" i="3129"/>
  <c r="K43" i="3129" s="1"/>
  <c r="M43" i="3129" s="1"/>
  <c r="C29" i="3129"/>
  <c r="N16" i="3129"/>
  <c r="O16" i="3129" s="1"/>
  <c r="P16" i="3129" s="1"/>
  <c r="P23" i="3129" s="1"/>
  <c r="C43" i="3128"/>
  <c r="K43" i="3128" s="1"/>
  <c r="M43" i="3128" s="1"/>
  <c r="C29" i="3128"/>
  <c r="G29" i="3127"/>
  <c r="E36" i="3127" s="1"/>
  <c r="C36" i="3127"/>
  <c r="N16" i="3127"/>
  <c r="O16" i="3127" s="1"/>
  <c r="P16" i="3127" s="1"/>
  <c r="P23" i="3127" s="1"/>
  <c r="C43" i="3127"/>
  <c r="K43" i="3127" s="1"/>
  <c r="M43" i="3127" s="1"/>
  <c r="F44" i="3126"/>
  <c r="F43" i="3126"/>
  <c r="O30" i="3126"/>
  <c r="O29" i="3126"/>
  <c r="L23" i="3126"/>
  <c r="H44" i="3126" s="1"/>
  <c r="D23" i="3126"/>
  <c r="H43" i="3126" s="1"/>
  <c r="P22" i="3126"/>
  <c r="O22" i="3126"/>
  <c r="N22" i="3126"/>
  <c r="H22" i="3126"/>
  <c r="G22" i="3126"/>
  <c r="F22" i="3126"/>
  <c r="P21" i="3126"/>
  <c r="O21" i="3126"/>
  <c r="N21" i="3126"/>
  <c r="H21" i="3126"/>
  <c r="G21" i="3126"/>
  <c r="F21" i="3126"/>
  <c r="P20" i="3126"/>
  <c r="O20" i="3126"/>
  <c r="N20" i="3126"/>
  <c r="H20" i="3126"/>
  <c r="G20" i="3126"/>
  <c r="F20" i="3126"/>
  <c r="P19" i="3126"/>
  <c r="O19" i="3126"/>
  <c r="N19" i="3126"/>
  <c r="H19" i="3126"/>
  <c r="G19" i="3126"/>
  <c r="F19" i="3126"/>
  <c r="P18" i="3126"/>
  <c r="O18" i="3126"/>
  <c r="N18" i="3126"/>
  <c r="H18" i="3126"/>
  <c r="G18" i="3126"/>
  <c r="F18" i="3126"/>
  <c r="P17" i="3126"/>
  <c r="O17" i="3126"/>
  <c r="N17" i="3126"/>
  <c r="H17" i="3126"/>
  <c r="G17" i="3126"/>
  <c r="F17" i="3126"/>
  <c r="P16" i="3126"/>
  <c r="P23" i="3126" s="1"/>
  <c r="O16" i="3126"/>
  <c r="N16" i="3126"/>
  <c r="H16" i="3126"/>
  <c r="H23" i="3126" s="1"/>
  <c r="G16" i="3126"/>
  <c r="F16" i="3126"/>
  <c r="G9" i="3126"/>
  <c r="E29" i="3126" s="1"/>
  <c r="E9" i="3126"/>
  <c r="C29" i="3126" s="1"/>
  <c r="P23" i="3135" l="1"/>
  <c r="P23" i="3141"/>
  <c r="C36" i="3148"/>
  <c r="G29" i="3148"/>
  <c r="E36" i="3148" s="1"/>
  <c r="G36" i="3148" s="1"/>
  <c r="N43" i="3148" s="1"/>
  <c r="C36" i="3147"/>
  <c r="G29" i="3147"/>
  <c r="E36" i="3147" s="1"/>
  <c r="G36" i="3147" s="1"/>
  <c r="N43" i="3147" s="1"/>
  <c r="C36" i="3146"/>
  <c r="G29" i="3146"/>
  <c r="E36" i="3146" s="1"/>
  <c r="G36" i="3146" s="1"/>
  <c r="N43" i="3146" s="1"/>
  <c r="C36" i="3145"/>
  <c r="G29" i="3145"/>
  <c r="E36" i="3145" s="1"/>
  <c r="G36" i="3145" s="1"/>
  <c r="N43" i="3145" s="1"/>
  <c r="C36" i="3144"/>
  <c r="G29" i="3144"/>
  <c r="E36" i="3144" s="1"/>
  <c r="G36" i="3144" s="1"/>
  <c r="N43" i="3144" s="1"/>
  <c r="C36" i="3143"/>
  <c r="G29" i="3143"/>
  <c r="E36" i="3143" s="1"/>
  <c r="G36" i="3143" s="1"/>
  <c r="N43" i="3143" s="1"/>
  <c r="C36" i="3142"/>
  <c r="G29" i="3142"/>
  <c r="E36" i="3142" s="1"/>
  <c r="G36" i="3142" s="1"/>
  <c r="N43" i="3142" s="1"/>
  <c r="C36" i="3141"/>
  <c r="G29" i="3141"/>
  <c r="E36" i="3141" s="1"/>
  <c r="G36" i="3141" s="1"/>
  <c r="N43" i="3141" s="1"/>
  <c r="C36" i="3140"/>
  <c r="G29" i="3140"/>
  <c r="E36" i="3140" s="1"/>
  <c r="G36" i="3140" s="1"/>
  <c r="N43" i="3140" s="1"/>
  <c r="C36" i="3139"/>
  <c r="G29" i="3139"/>
  <c r="E36" i="3139" s="1"/>
  <c r="G36" i="3139" s="1"/>
  <c r="N43" i="3139" s="1"/>
  <c r="C36" i="3138"/>
  <c r="G29" i="3138"/>
  <c r="E36" i="3138" s="1"/>
  <c r="G36" i="3138" s="1"/>
  <c r="N43" i="3138" s="1"/>
  <c r="C36" i="3137"/>
  <c r="G29" i="3137"/>
  <c r="E36" i="3137" s="1"/>
  <c r="G36" i="3137" s="1"/>
  <c r="N43" i="3137" s="1"/>
  <c r="C36" i="3136"/>
  <c r="G29" i="3136"/>
  <c r="E36" i="3136" s="1"/>
  <c r="G36" i="3136" s="1"/>
  <c r="N43" i="3136" s="1"/>
  <c r="C36" i="3135"/>
  <c r="G29" i="3135"/>
  <c r="E36" i="3135" s="1"/>
  <c r="G36" i="3135" s="1"/>
  <c r="N43" i="3135" s="1"/>
  <c r="C36" i="3134"/>
  <c r="G29" i="3134"/>
  <c r="E36" i="3134" s="1"/>
  <c r="G36" i="3134" s="1"/>
  <c r="N43" i="3134" s="1"/>
  <c r="C36" i="3133"/>
  <c r="G29" i="3133"/>
  <c r="E36" i="3133" s="1"/>
  <c r="G36" i="3133" s="1"/>
  <c r="N43" i="3133" s="1"/>
  <c r="C36" i="3132"/>
  <c r="G29" i="3132"/>
  <c r="E36" i="3132" s="1"/>
  <c r="G36" i="3132" s="1"/>
  <c r="N43" i="3132" s="1"/>
  <c r="C36" i="3131"/>
  <c r="G29" i="3131"/>
  <c r="E36" i="3131" s="1"/>
  <c r="G36" i="3131" s="1"/>
  <c r="N43" i="3131" s="1"/>
  <c r="C36" i="3130"/>
  <c r="G29" i="3130"/>
  <c r="E36" i="3130" s="1"/>
  <c r="G36" i="3130" s="1"/>
  <c r="N43" i="3130" s="1"/>
  <c r="C36" i="3129"/>
  <c r="G29" i="3129"/>
  <c r="E36" i="3129" s="1"/>
  <c r="G36" i="3129" s="1"/>
  <c r="N43" i="3129" s="1"/>
  <c r="C36" i="3128"/>
  <c r="G29" i="3128"/>
  <c r="E36" i="3128" s="1"/>
  <c r="G36" i="3128" s="1"/>
  <c r="N43" i="3128" s="1"/>
  <c r="G36" i="3127"/>
  <c r="N43" i="3127" s="1"/>
  <c r="C36" i="3126"/>
  <c r="G29" i="3126"/>
  <c r="E36" i="3126" s="1"/>
  <c r="G36" i="3126" s="1"/>
  <c r="N43" i="3126" s="1"/>
  <c r="C43" i="3126"/>
  <c r="K43" i="3126" s="1"/>
  <c r="M43" i="3126" s="1"/>
  <c r="F44" i="3125"/>
  <c r="F43" i="3125"/>
  <c r="O30" i="3125"/>
  <c r="O29" i="3125"/>
  <c r="L23" i="3125"/>
  <c r="H44" i="3125" s="1"/>
  <c r="D23" i="3125"/>
  <c r="H43" i="3125" s="1"/>
  <c r="P22" i="3125"/>
  <c r="O22" i="3125"/>
  <c r="N22" i="3125"/>
  <c r="H22" i="3125"/>
  <c r="G22" i="3125"/>
  <c r="F22" i="3125"/>
  <c r="P21" i="3125"/>
  <c r="O21" i="3125"/>
  <c r="N21" i="3125"/>
  <c r="H21" i="3125"/>
  <c r="G21" i="3125"/>
  <c r="F21" i="3125"/>
  <c r="P20" i="3125"/>
  <c r="O20" i="3125"/>
  <c r="N20" i="3125"/>
  <c r="H20" i="3125"/>
  <c r="G20" i="3125"/>
  <c r="F20" i="3125"/>
  <c r="P19" i="3125"/>
  <c r="O19" i="3125"/>
  <c r="N19" i="3125"/>
  <c r="H19" i="3125"/>
  <c r="G19" i="3125"/>
  <c r="F19" i="3125"/>
  <c r="P18" i="3125"/>
  <c r="O18" i="3125"/>
  <c r="N18" i="3125"/>
  <c r="H18" i="3125"/>
  <c r="G18" i="3125"/>
  <c r="F18" i="3125"/>
  <c r="P17" i="3125"/>
  <c r="O17" i="3125"/>
  <c r="N17" i="3125"/>
  <c r="H17" i="3125"/>
  <c r="G17" i="3125"/>
  <c r="F17" i="3125"/>
  <c r="H16" i="3125"/>
  <c r="H23" i="3125" s="1"/>
  <c r="G16" i="3125"/>
  <c r="F16" i="3125"/>
  <c r="G9" i="3125"/>
  <c r="E29" i="3125" s="1"/>
  <c r="E9" i="3125"/>
  <c r="F44" i="3124"/>
  <c r="F43" i="3124"/>
  <c r="O30" i="3124"/>
  <c r="O29" i="3124"/>
  <c r="L23" i="3124"/>
  <c r="H44" i="3124" s="1"/>
  <c r="D23" i="3124"/>
  <c r="H43" i="3124" s="1"/>
  <c r="P22" i="3124"/>
  <c r="O22" i="3124"/>
  <c r="N22" i="3124"/>
  <c r="H22" i="3124"/>
  <c r="G22" i="3124"/>
  <c r="F22" i="3124"/>
  <c r="P21" i="3124"/>
  <c r="O21" i="3124"/>
  <c r="N21" i="3124"/>
  <c r="H21" i="3124"/>
  <c r="G21" i="3124"/>
  <c r="F21" i="3124"/>
  <c r="P20" i="3124"/>
  <c r="O20" i="3124"/>
  <c r="N20" i="3124"/>
  <c r="H20" i="3124"/>
  <c r="G20" i="3124"/>
  <c r="F20" i="3124"/>
  <c r="P19" i="3124"/>
  <c r="O19" i="3124"/>
  <c r="N19" i="3124"/>
  <c r="H19" i="3124"/>
  <c r="G19" i="3124"/>
  <c r="F19" i="3124"/>
  <c r="P18" i="3124"/>
  <c r="O18" i="3124"/>
  <c r="N18" i="3124"/>
  <c r="H18" i="3124"/>
  <c r="G18" i="3124"/>
  <c r="F18" i="3124"/>
  <c r="P17" i="3124"/>
  <c r="O17" i="3124"/>
  <c r="N17" i="3124"/>
  <c r="H17" i="3124"/>
  <c r="G17" i="3124"/>
  <c r="F17" i="3124"/>
  <c r="H16" i="3124"/>
  <c r="H23" i="3124" s="1"/>
  <c r="G16" i="3124"/>
  <c r="F16" i="3124"/>
  <c r="G9" i="3124"/>
  <c r="E29" i="3124" s="1"/>
  <c r="E9" i="3124"/>
  <c r="F44" i="3123"/>
  <c r="F43" i="3123"/>
  <c r="O30" i="3123"/>
  <c r="O29" i="3123"/>
  <c r="L23" i="3123"/>
  <c r="H44" i="3123" s="1"/>
  <c r="D23" i="3123"/>
  <c r="H43" i="3123" s="1"/>
  <c r="P22" i="3123"/>
  <c r="O22" i="3123"/>
  <c r="N22" i="3123"/>
  <c r="H22" i="3123"/>
  <c r="G22" i="3123"/>
  <c r="F22" i="3123"/>
  <c r="P21" i="3123"/>
  <c r="O21" i="3123"/>
  <c r="N21" i="3123"/>
  <c r="H21" i="3123"/>
  <c r="G21" i="3123"/>
  <c r="F21" i="3123"/>
  <c r="P20" i="3123"/>
  <c r="O20" i="3123"/>
  <c r="N20" i="3123"/>
  <c r="H20" i="3123"/>
  <c r="G20" i="3123"/>
  <c r="F20" i="3123"/>
  <c r="P19" i="3123"/>
  <c r="O19" i="3123"/>
  <c r="N19" i="3123"/>
  <c r="H19" i="3123"/>
  <c r="G19" i="3123"/>
  <c r="F19" i="3123"/>
  <c r="P18" i="3123"/>
  <c r="O18" i="3123"/>
  <c r="N18" i="3123"/>
  <c r="H18" i="3123"/>
  <c r="G18" i="3123"/>
  <c r="F18" i="3123"/>
  <c r="P17" i="3123"/>
  <c r="O17" i="3123"/>
  <c r="N17" i="3123"/>
  <c r="H17" i="3123"/>
  <c r="G17" i="3123"/>
  <c r="F17" i="3123"/>
  <c r="H16" i="3123"/>
  <c r="H23" i="3123" s="1"/>
  <c r="G16" i="3123"/>
  <c r="F16" i="3123"/>
  <c r="G9" i="3123"/>
  <c r="E29" i="3123" s="1"/>
  <c r="E9" i="3123"/>
  <c r="F44" i="3122"/>
  <c r="F43" i="3122"/>
  <c r="O30" i="3122"/>
  <c r="O29" i="3122"/>
  <c r="L23" i="3122"/>
  <c r="H44" i="3122" s="1"/>
  <c r="D23" i="3122"/>
  <c r="H43" i="3122" s="1"/>
  <c r="P22" i="3122"/>
  <c r="O22" i="3122"/>
  <c r="N22" i="3122"/>
  <c r="H22" i="3122"/>
  <c r="G22" i="3122"/>
  <c r="F22" i="3122"/>
  <c r="P21" i="3122"/>
  <c r="O21" i="3122"/>
  <c r="N21" i="3122"/>
  <c r="H21" i="3122"/>
  <c r="G21" i="3122"/>
  <c r="F21" i="3122"/>
  <c r="P20" i="3122"/>
  <c r="O20" i="3122"/>
  <c r="N20" i="3122"/>
  <c r="H20" i="3122"/>
  <c r="G20" i="3122"/>
  <c r="F20" i="3122"/>
  <c r="P19" i="3122"/>
  <c r="O19" i="3122"/>
  <c r="N19" i="3122"/>
  <c r="H19" i="3122"/>
  <c r="G19" i="3122"/>
  <c r="F19" i="3122"/>
  <c r="P18" i="3122"/>
  <c r="O18" i="3122"/>
  <c r="N18" i="3122"/>
  <c r="H18" i="3122"/>
  <c r="G18" i="3122"/>
  <c r="F18" i="3122"/>
  <c r="H17" i="3122"/>
  <c r="G17" i="3122"/>
  <c r="F17" i="3122"/>
  <c r="H16" i="3122"/>
  <c r="H23" i="3122" s="1"/>
  <c r="G16" i="3122"/>
  <c r="F16" i="3122"/>
  <c r="G9" i="3122"/>
  <c r="E29" i="3122" s="1"/>
  <c r="E9" i="3122"/>
  <c r="F44" i="3121"/>
  <c r="F43" i="3121"/>
  <c r="O30" i="3121"/>
  <c r="O29" i="3121"/>
  <c r="L23" i="3121"/>
  <c r="H44" i="3121" s="1"/>
  <c r="D23" i="3121"/>
  <c r="H43" i="3121" s="1"/>
  <c r="P22" i="3121"/>
  <c r="O22" i="3121"/>
  <c r="N22" i="3121"/>
  <c r="H22" i="3121"/>
  <c r="G22" i="3121"/>
  <c r="F22" i="3121"/>
  <c r="P21" i="3121"/>
  <c r="O21" i="3121"/>
  <c r="N21" i="3121"/>
  <c r="H21" i="3121"/>
  <c r="G21" i="3121"/>
  <c r="F21" i="3121"/>
  <c r="P20" i="3121"/>
  <c r="O20" i="3121"/>
  <c r="N20" i="3121"/>
  <c r="H20" i="3121"/>
  <c r="G20" i="3121"/>
  <c r="F20" i="3121"/>
  <c r="P19" i="3121"/>
  <c r="O19" i="3121"/>
  <c r="N19" i="3121"/>
  <c r="H19" i="3121"/>
  <c r="G19" i="3121"/>
  <c r="F19" i="3121"/>
  <c r="P18" i="3121"/>
  <c r="O18" i="3121"/>
  <c r="N18" i="3121"/>
  <c r="H18" i="3121"/>
  <c r="G18" i="3121"/>
  <c r="F18" i="3121"/>
  <c r="H17" i="3121"/>
  <c r="G17" i="3121"/>
  <c r="F17" i="3121"/>
  <c r="H16" i="3121"/>
  <c r="H23" i="3121" s="1"/>
  <c r="G16" i="3121"/>
  <c r="F16" i="3121"/>
  <c r="G9" i="3121"/>
  <c r="E29" i="3121" s="1"/>
  <c r="E9" i="3121"/>
  <c r="F44" i="3120"/>
  <c r="F43" i="3120"/>
  <c r="O30" i="3120"/>
  <c r="O29" i="3120"/>
  <c r="L23" i="3120"/>
  <c r="H44" i="3120" s="1"/>
  <c r="D23" i="3120"/>
  <c r="H43" i="3120" s="1"/>
  <c r="P22" i="3120"/>
  <c r="O22" i="3120"/>
  <c r="N22" i="3120"/>
  <c r="H22" i="3120"/>
  <c r="G22" i="3120"/>
  <c r="F22" i="3120"/>
  <c r="P21" i="3120"/>
  <c r="O21" i="3120"/>
  <c r="N21" i="3120"/>
  <c r="H21" i="3120"/>
  <c r="G21" i="3120"/>
  <c r="F21" i="3120"/>
  <c r="P20" i="3120"/>
  <c r="O20" i="3120"/>
  <c r="N20" i="3120"/>
  <c r="H20" i="3120"/>
  <c r="G20" i="3120"/>
  <c r="F20" i="3120"/>
  <c r="P19" i="3120"/>
  <c r="O19" i="3120"/>
  <c r="N19" i="3120"/>
  <c r="H19" i="3120"/>
  <c r="G19" i="3120"/>
  <c r="F19" i="3120"/>
  <c r="P18" i="3120"/>
  <c r="O18" i="3120"/>
  <c r="N18" i="3120"/>
  <c r="H18" i="3120"/>
  <c r="G18" i="3120"/>
  <c r="F18" i="3120"/>
  <c r="P17" i="3120"/>
  <c r="O17" i="3120"/>
  <c r="N17" i="3120"/>
  <c r="H17" i="3120"/>
  <c r="G17" i="3120"/>
  <c r="F17" i="3120"/>
  <c r="H16" i="3120"/>
  <c r="H23" i="3120" s="1"/>
  <c r="G16" i="3120"/>
  <c r="F16" i="3120"/>
  <c r="G9" i="3120"/>
  <c r="E29" i="3120" s="1"/>
  <c r="E9" i="3120"/>
  <c r="F44" i="3119"/>
  <c r="F43" i="3119"/>
  <c r="O30" i="3119"/>
  <c r="O29" i="3119"/>
  <c r="L23" i="3119"/>
  <c r="H44" i="3119" s="1"/>
  <c r="D23" i="3119"/>
  <c r="H43" i="3119" s="1"/>
  <c r="P22" i="3119"/>
  <c r="O22" i="3119"/>
  <c r="N22" i="3119"/>
  <c r="H22" i="3119"/>
  <c r="G22" i="3119"/>
  <c r="F22" i="3119"/>
  <c r="P21" i="3119"/>
  <c r="O21" i="3119"/>
  <c r="N21" i="3119"/>
  <c r="H21" i="3119"/>
  <c r="G21" i="3119"/>
  <c r="F21" i="3119"/>
  <c r="P20" i="3119"/>
  <c r="O20" i="3119"/>
  <c r="N20" i="3119"/>
  <c r="H20" i="3119"/>
  <c r="G20" i="3119"/>
  <c r="F20" i="3119"/>
  <c r="P19" i="3119"/>
  <c r="O19" i="3119"/>
  <c r="N19" i="3119"/>
  <c r="H19" i="3119"/>
  <c r="G19" i="3119"/>
  <c r="F19" i="3119"/>
  <c r="P18" i="3119"/>
  <c r="O18" i="3119"/>
  <c r="N18" i="3119"/>
  <c r="H18" i="3119"/>
  <c r="G18" i="3119"/>
  <c r="F18" i="3119"/>
  <c r="P17" i="3119"/>
  <c r="O17" i="3119"/>
  <c r="N17" i="3119"/>
  <c r="H17" i="3119"/>
  <c r="G17" i="3119"/>
  <c r="F17" i="3119"/>
  <c r="H16" i="3119"/>
  <c r="H23" i="3119" s="1"/>
  <c r="G16" i="3119"/>
  <c r="F16" i="3119"/>
  <c r="G9" i="3119"/>
  <c r="E29" i="3119" s="1"/>
  <c r="E9" i="3119"/>
  <c r="F44" i="3118"/>
  <c r="F43" i="3118"/>
  <c r="O30" i="3118"/>
  <c r="O29" i="3118"/>
  <c r="L23" i="3118"/>
  <c r="H44" i="3118" s="1"/>
  <c r="D23" i="3118"/>
  <c r="H43" i="3118" s="1"/>
  <c r="P22" i="3118"/>
  <c r="O22" i="3118"/>
  <c r="N22" i="3118"/>
  <c r="H22" i="3118"/>
  <c r="G22" i="3118"/>
  <c r="F22" i="3118"/>
  <c r="P21" i="3118"/>
  <c r="O21" i="3118"/>
  <c r="N21" i="3118"/>
  <c r="H21" i="3118"/>
  <c r="G21" i="3118"/>
  <c r="F21" i="3118"/>
  <c r="P20" i="3118"/>
  <c r="O20" i="3118"/>
  <c r="N20" i="3118"/>
  <c r="H20" i="3118"/>
  <c r="G20" i="3118"/>
  <c r="F20" i="3118"/>
  <c r="H19" i="3118"/>
  <c r="G19" i="3118"/>
  <c r="F19" i="3118"/>
  <c r="H18" i="3118"/>
  <c r="G18" i="3118"/>
  <c r="F18" i="3118"/>
  <c r="H17" i="3118"/>
  <c r="G17" i="3118"/>
  <c r="F17" i="3118"/>
  <c r="H16" i="3118"/>
  <c r="H23" i="3118" s="1"/>
  <c r="G16" i="3118"/>
  <c r="F16" i="3118"/>
  <c r="G9" i="3118"/>
  <c r="E29" i="3118" s="1"/>
  <c r="E9" i="3118"/>
  <c r="F44" i="3117"/>
  <c r="F43" i="3117"/>
  <c r="O30" i="3117"/>
  <c r="O29" i="3117"/>
  <c r="L23" i="3117"/>
  <c r="H44" i="3117" s="1"/>
  <c r="D23" i="3117"/>
  <c r="H43" i="3117" s="1"/>
  <c r="P22" i="3117"/>
  <c r="O22" i="3117"/>
  <c r="N22" i="3117"/>
  <c r="H22" i="3117"/>
  <c r="G22" i="3117"/>
  <c r="F22" i="3117"/>
  <c r="P21" i="3117"/>
  <c r="O21" i="3117"/>
  <c r="N21" i="3117"/>
  <c r="H21" i="3117"/>
  <c r="G21" i="3117"/>
  <c r="F21" i="3117"/>
  <c r="P20" i="3117"/>
  <c r="O20" i="3117"/>
  <c r="N20" i="3117"/>
  <c r="H20" i="3117"/>
  <c r="G20" i="3117"/>
  <c r="F20" i="3117"/>
  <c r="H19" i="3117"/>
  <c r="G19" i="3117"/>
  <c r="F19" i="3117"/>
  <c r="H18" i="3117"/>
  <c r="G18" i="3117"/>
  <c r="F18" i="3117"/>
  <c r="H17" i="3117"/>
  <c r="G17" i="3117"/>
  <c r="F17" i="3117"/>
  <c r="H16" i="3117"/>
  <c r="H23" i="3117" s="1"/>
  <c r="G16" i="3117"/>
  <c r="F16" i="3117"/>
  <c r="G9" i="3117"/>
  <c r="E29" i="3117" s="1"/>
  <c r="E9" i="3117"/>
  <c r="F44" i="3116"/>
  <c r="F43" i="3116"/>
  <c r="O30" i="3116"/>
  <c r="O29" i="3116"/>
  <c r="L23" i="3116"/>
  <c r="H44" i="3116" s="1"/>
  <c r="D23" i="3116"/>
  <c r="H43" i="3116" s="1"/>
  <c r="P22" i="3116"/>
  <c r="O22" i="3116"/>
  <c r="N22" i="3116"/>
  <c r="H22" i="3116"/>
  <c r="G22" i="3116"/>
  <c r="F22" i="3116"/>
  <c r="P21" i="3116"/>
  <c r="O21" i="3116"/>
  <c r="N21" i="3116"/>
  <c r="H21" i="3116"/>
  <c r="G21" i="3116"/>
  <c r="F21" i="3116"/>
  <c r="P20" i="3116"/>
  <c r="O20" i="3116"/>
  <c r="N20" i="3116"/>
  <c r="H20" i="3116"/>
  <c r="G20" i="3116"/>
  <c r="F20" i="3116"/>
  <c r="H19" i="3116"/>
  <c r="G19" i="3116"/>
  <c r="F19" i="3116"/>
  <c r="H18" i="3116"/>
  <c r="G18" i="3116"/>
  <c r="F18" i="3116"/>
  <c r="H17" i="3116"/>
  <c r="G17" i="3116"/>
  <c r="F17" i="3116"/>
  <c r="H16" i="3116"/>
  <c r="H23" i="3116" s="1"/>
  <c r="G16" i="3116"/>
  <c r="F16" i="3116"/>
  <c r="G9" i="3116"/>
  <c r="E29" i="3116" s="1"/>
  <c r="E9" i="3116"/>
  <c r="F44" i="3115"/>
  <c r="F43" i="3115"/>
  <c r="O30" i="3115"/>
  <c r="O29" i="3115"/>
  <c r="L23" i="3115"/>
  <c r="H44" i="3115" s="1"/>
  <c r="D23" i="3115"/>
  <c r="H43" i="3115" s="1"/>
  <c r="P22" i="3115"/>
  <c r="O22" i="3115"/>
  <c r="N22" i="3115"/>
  <c r="H22" i="3115"/>
  <c r="G22" i="3115"/>
  <c r="F22" i="3115"/>
  <c r="P21" i="3115"/>
  <c r="O21" i="3115"/>
  <c r="N21" i="3115"/>
  <c r="H21" i="3115"/>
  <c r="G21" i="3115"/>
  <c r="F21" i="3115"/>
  <c r="P20" i="3115"/>
  <c r="O20" i="3115"/>
  <c r="N20" i="3115"/>
  <c r="H20" i="3115"/>
  <c r="G20" i="3115"/>
  <c r="F20" i="3115"/>
  <c r="H19" i="3115"/>
  <c r="G19" i="3115"/>
  <c r="F19" i="3115"/>
  <c r="H18" i="3115"/>
  <c r="G18" i="3115"/>
  <c r="F18" i="3115"/>
  <c r="H17" i="3115"/>
  <c r="G17" i="3115"/>
  <c r="F17" i="3115"/>
  <c r="H16" i="3115"/>
  <c r="H23" i="3115" s="1"/>
  <c r="G16" i="3115"/>
  <c r="F16" i="3115"/>
  <c r="G9" i="3115"/>
  <c r="E29" i="3115" s="1"/>
  <c r="E9" i="3115"/>
  <c r="F44" i="3114"/>
  <c r="F43" i="3114"/>
  <c r="O30" i="3114"/>
  <c r="O29" i="3114"/>
  <c r="D23" i="3114"/>
  <c r="H43" i="3114" s="1"/>
  <c r="P22" i="3114"/>
  <c r="O22" i="3114"/>
  <c r="N22" i="3114"/>
  <c r="H22" i="3114"/>
  <c r="G22" i="3114"/>
  <c r="F22" i="3114"/>
  <c r="P21" i="3114"/>
  <c r="O21" i="3114"/>
  <c r="N21" i="3114"/>
  <c r="H21" i="3114"/>
  <c r="G21" i="3114"/>
  <c r="F21" i="3114"/>
  <c r="H20" i="3114"/>
  <c r="G20" i="3114"/>
  <c r="F20" i="3114"/>
  <c r="H19" i="3114"/>
  <c r="G19" i="3114"/>
  <c r="F19" i="3114"/>
  <c r="H18" i="3114"/>
  <c r="G18" i="3114"/>
  <c r="F18" i="3114"/>
  <c r="H17" i="3114"/>
  <c r="G17" i="3114"/>
  <c r="F17" i="3114"/>
  <c r="H16" i="3114"/>
  <c r="H23" i="3114" s="1"/>
  <c r="G16" i="3114"/>
  <c r="F16" i="3114"/>
  <c r="G9" i="3114"/>
  <c r="E29" i="3114" s="1"/>
  <c r="E9" i="3114"/>
  <c r="L18" i="3113"/>
  <c r="F43" i="3113"/>
  <c r="O29" i="3113"/>
  <c r="L23" i="3113"/>
  <c r="H44" i="3113" s="1"/>
  <c r="D23" i="3113"/>
  <c r="H43" i="3113" s="1"/>
  <c r="P22" i="3113"/>
  <c r="O22" i="3113"/>
  <c r="N22" i="3113"/>
  <c r="H22" i="3113"/>
  <c r="G22" i="3113"/>
  <c r="F22" i="3113"/>
  <c r="H21" i="3113"/>
  <c r="G21" i="3113"/>
  <c r="F21" i="3113"/>
  <c r="H20" i="3113"/>
  <c r="G20" i="3113"/>
  <c r="F20" i="3113"/>
  <c r="H19" i="3113"/>
  <c r="G19" i="3113"/>
  <c r="F19" i="3113"/>
  <c r="H18" i="3113"/>
  <c r="G18" i="3113"/>
  <c r="F18" i="3113"/>
  <c r="H17" i="3113"/>
  <c r="G17" i="3113"/>
  <c r="F17" i="3113"/>
  <c r="H16" i="3113"/>
  <c r="H23" i="3113" s="1"/>
  <c r="G16" i="3113"/>
  <c r="F16" i="3113"/>
  <c r="G9" i="3113"/>
  <c r="E29" i="3113" s="1"/>
  <c r="E9" i="3113"/>
  <c r="F44" i="3112"/>
  <c r="F43" i="3112"/>
  <c r="O30" i="3112"/>
  <c r="O29" i="3112"/>
  <c r="L23" i="3112"/>
  <c r="H44" i="3112" s="1"/>
  <c r="D23" i="3112"/>
  <c r="H43" i="3112" s="1"/>
  <c r="P22" i="3112"/>
  <c r="O22" i="3112"/>
  <c r="N22" i="3112"/>
  <c r="H22" i="3112"/>
  <c r="G22" i="3112"/>
  <c r="F22" i="3112"/>
  <c r="P21" i="3112"/>
  <c r="O21" i="3112"/>
  <c r="N21" i="3112"/>
  <c r="H21" i="3112"/>
  <c r="G21" i="3112"/>
  <c r="F21" i="3112"/>
  <c r="P20" i="3112"/>
  <c r="O20" i="3112"/>
  <c r="N20" i="3112"/>
  <c r="H20" i="3112"/>
  <c r="G20" i="3112"/>
  <c r="F20" i="3112"/>
  <c r="P19" i="3112"/>
  <c r="O19" i="3112"/>
  <c r="N19" i="3112"/>
  <c r="H19" i="3112"/>
  <c r="G19" i="3112"/>
  <c r="F19" i="3112"/>
  <c r="P18" i="3112"/>
  <c r="O18" i="3112"/>
  <c r="N18" i="3112"/>
  <c r="H18" i="3112"/>
  <c r="G18" i="3112"/>
  <c r="F18" i="3112"/>
  <c r="P17" i="3112"/>
  <c r="O17" i="3112"/>
  <c r="N17" i="3112"/>
  <c r="H17" i="3112"/>
  <c r="G17" i="3112"/>
  <c r="F17" i="3112"/>
  <c r="H16" i="3112"/>
  <c r="H23" i="3112" s="1"/>
  <c r="G16" i="3112"/>
  <c r="F16" i="3112"/>
  <c r="G9" i="3112"/>
  <c r="E29" i="3112" s="1"/>
  <c r="E9" i="3112"/>
  <c r="F44" i="3111"/>
  <c r="F43" i="3111"/>
  <c r="O30" i="3111"/>
  <c r="O29" i="3111"/>
  <c r="L23" i="3111"/>
  <c r="H44" i="3111" s="1"/>
  <c r="D23" i="3111"/>
  <c r="H43" i="3111" s="1"/>
  <c r="P22" i="3111"/>
  <c r="O22" i="3111"/>
  <c r="N22" i="3111"/>
  <c r="H22" i="3111"/>
  <c r="G22" i="3111"/>
  <c r="F22" i="3111"/>
  <c r="P21" i="3111"/>
  <c r="O21" i="3111"/>
  <c r="N21" i="3111"/>
  <c r="H21" i="3111"/>
  <c r="G21" i="3111"/>
  <c r="F21" i="3111"/>
  <c r="P20" i="3111"/>
  <c r="O20" i="3111"/>
  <c r="N20" i="3111"/>
  <c r="H20" i="3111"/>
  <c r="G20" i="3111"/>
  <c r="F20" i="3111"/>
  <c r="P19" i="3111"/>
  <c r="O19" i="3111"/>
  <c r="N19" i="3111"/>
  <c r="H19" i="3111"/>
  <c r="G19" i="3111"/>
  <c r="F19" i="3111"/>
  <c r="P18" i="3111"/>
  <c r="O18" i="3111"/>
  <c r="N18" i="3111"/>
  <c r="H18" i="3111"/>
  <c r="G18" i="3111"/>
  <c r="F18" i="3111"/>
  <c r="P17" i="3111"/>
  <c r="O17" i="3111"/>
  <c r="N17" i="3111"/>
  <c r="H17" i="3111"/>
  <c r="G17" i="3111"/>
  <c r="F17" i="3111"/>
  <c r="H16" i="3111"/>
  <c r="H23" i="3111" s="1"/>
  <c r="G16" i="3111"/>
  <c r="F16" i="3111"/>
  <c r="G9" i="3111"/>
  <c r="E29" i="3111" s="1"/>
  <c r="E9" i="3111"/>
  <c r="F44" i="3110"/>
  <c r="F43" i="3110"/>
  <c r="O30" i="3110"/>
  <c r="O29" i="3110"/>
  <c r="L23" i="3110"/>
  <c r="H44" i="3110" s="1"/>
  <c r="D23" i="3110"/>
  <c r="H43" i="3110" s="1"/>
  <c r="P22" i="3110"/>
  <c r="O22" i="3110"/>
  <c r="N22" i="3110"/>
  <c r="H22" i="3110"/>
  <c r="G22" i="3110"/>
  <c r="F22" i="3110"/>
  <c r="P21" i="3110"/>
  <c r="O21" i="3110"/>
  <c r="N21" i="3110"/>
  <c r="H21" i="3110"/>
  <c r="G21" i="3110"/>
  <c r="F21" i="3110"/>
  <c r="P20" i="3110"/>
  <c r="O20" i="3110"/>
  <c r="N20" i="3110"/>
  <c r="H20" i="3110"/>
  <c r="G20" i="3110"/>
  <c r="F20" i="3110"/>
  <c r="H19" i="3110"/>
  <c r="G19" i="3110"/>
  <c r="F19" i="3110"/>
  <c r="H18" i="3110"/>
  <c r="G18" i="3110"/>
  <c r="F18" i="3110"/>
  <c r="H17" i="3110"/>
  <c r="G17" i="3110"/>
  <c r="F17" i="3110"/>
  <c r="H16" i="3110"/>
  <c r="H23" i="3110" s="1"/>
  <c r="G16" i="3110"/>
  <c r="F16" i="3110"/>
  <c r="G9" i="3110"/>
  <c r="E29" i="3110" s="1"/>
  <c r="E9" i="3110"/>
  <c r="F44" i="3109"/>
  <c r="F43" i="3109"/>
  <c r="O30" i="3109"/>
  <c r="O29" i="3109"/>
  <c r="L23" i="3109"/>
  <c r="H44" i="3109" s="1"/>
  <c r="D23" i="3109"/>
  <c r="H43" i="3109" s="1"/>
  <c r="P22" i="3109"/>
  <c r="O22" i="3109"/>
  <c r="N22" i="3109"/>
  <c r="H22" i="3109"/>
  <c r="G22" i="3109"/>
  <c r="F22" i="3109"/>
  <c r="P21" i="3109"/>
  <c r="O21" i="3109"/>
  <c r="N21" i="3109"/>
  <c r="H21" i="3109"/>
  <c r="G21" i="3109"/>
  <c r="F21" i="3109"/>
  <c r="P20" i="3109"/>
  <c r="O20" i="3109"/>
  <c r="N20" i="3109"/>
  <c r="H20" i="3109"/>
  <c r="G20" i="3109"/>
  <c r="F20" i="3109"/>
  <c r="H19" i="3109"/>
  <c r="G19" i="3109"/>
  <c r="F19" i="3109"/>
  <c r="H18" i="3109"/>
  <c r="G18" i="3109"/>
  <c r="F18" i="3109"/>
  <c r="H17" i="3109"/>
  <c r="G17" i="3109"/>
  <c r="F17" i="3109"/>
  <c r="H16" i="3109"/>
  <c r="H23" i="3109" s="1"/>
  <c r="G16" i="3109"/>
  <c r="F16" i="3109"/>
  <c r="G9" i="3109"/>
  <c r="E29" i="3109" s="1"/>
  <c r="E9" i="3109"/>
  <c r="F44" i="3108"/>
  <c r="F43" i="3108"/>
  <c r="O30" i="3108"/>
  <c r="O29" i="3108"/>
  <c r="L23" i="3108"/>
  <c r="H44" i="3108" s="1"/>
  <c r="D23" i="3108"/>
  <c r="H43" i="3108" s="1"/>
  <c r="P22" i="3108"/>
  <c r="O22" i="3108"/>
  <c r="N22" i="3108"/>
  <c r="H22" i="3108"/>
  <c r="G22" i="3108"/>
  <c r="F22" i="3108"/>
  <c r="P21" i="3108"/>
  <c r="O21" i="3108"/>
  <c r="N21" i="3108"/>
  <c r="H21" i="3108"/>
  <c r="G21" i="3108"/>
  <c r="F21" i="3108"/>
  <c r="P20" i="3108"/>
  <c r="O20" i="3108"/>
  <c r="N20" i="3108"/>
  <c r="H20" i="3108"/>
  <c r="G20" i="3108"/>
  <c r="F20" i="3108"/>
  <c r="P19" i="3108"/>
  <c r="O19" i="3108"/>
  <c r="N19" i="3108"/>
  <c r="H19" i="3108"/>
  <c r="G19" i="3108"/>
  <c r="F19" i="3108"/>
  <c r="P18" i="3108"/>
  <c r="O18" i="3108"/>
  <c r="N18" i="3108"/>
  <c r="H18" i="3108"/>
  <c r="G18" i="3108"/>
  <c r="F18" i="3108"/>
  <c r="H17" i="3108"/>
  <c r="G17" i="3108"/>
  <c r="F17" i="3108"/>
  <c r="H16" i="3108"/>
  <c r="H23" i="3108" s="1"/>
  <c r="G16" i="3108"/>
  <c r="F16" i="3108"/>
  <c r="G9" i="3108"/>
  <c r="E29" i="3108" s="1"/>
  <c r="E9" i="3108"/>
  <c r="F44" i="3107"/>
  <c r="F43" i="3107"/>
  <c r="O30" i="3107"/>
  <c r="O29" i="3107"/>
  <c r="L23" i="3107"/>
  <c r="H44" i="3107" s="1"/>
  <c r="D23" i="3107"/>
  <c r="H43" i="3107" s="1"/>
  <c r="P22" i="3107"/>
  <c r="O22" i="3107"/>
  <c r="N22" i="3107"/>
  <c r="H22" i="3107"/>
  <c r="G22" i="3107"/>
  <c r="F22" i="3107"/>
  <c r="P21" i="3107"/>
  <c r="O21" i="3107"/>
  <c r="N21" i="3107"/>
  <c r="H21" i="3107"/>
  <c r="G21" i="3107"/>
  <c r="F21" i="3107"/>
  <c r="P20" i="3107"/>
  <c r="O20" i="3107"/>
  <c r="N20" i="3107"/>
  <c r="H20" i="3107"/>
  <c r="G20" i="3107"/>
  <c r="F20" i="3107"/>
  <c r="P19" i="3107"/>
  <c r="O19" i="3107"/>
  <c r="N19" i="3107"/>
  <c r="H19" i="3107"/>
  <c r="G19" i="3107"/>
  <c r="F19" i="3107"/>
  <c r="P18" i="3107"/>
  <c r="O18" i="3107"/>
  <c r="N18" i="3107"/>
  <c r="H18" i="3107"/>
  <c r="G18" i="3107"/>
  <c r="F18" i="3107"/>
  <c r="H17" i="3107"/>
  <c r="G17" i="3107"/>
  <c r="F17" i="3107"/>
  <c r="H16" i="3107"/>
  <c r="H23" i="3107" s="1"/>
  <c r="G16" i="3107"/>
  <c r="F16" i="3107"/>
  <c r="G9" i="3107"/>
  <c r="E29" i="3107" s="1"/>
  <c r="E9" i="3107"/>
  <c r="F44" i="3106"/>
  <c r="F43" i="3106"/>
  <c r="O30" i="3106"/>
  <c r="O29" i="3106"/>
  <c r="L23" i="3106"/>
  <c r="H44" i="3106" s="1"/>
  <c r="D23" i="3106"/>
  <c r="H43" i="3106" s="1"/>
  <c r="P22" i="3106"/>
  <c r="O22" i="3106"/>
  <c r="N22" i="3106"/>
  <c r="H22" i="3106"/>
  <c r="G22" i="3106"/>
  <c r="F22" i="3106"/>
  <c r="P21" i="3106"/>
  <c r="O21" i="3106"/>
  <c r="N21" i="3106"/>
  <c r="H21" i="3106"/>
  <c r="G21" i="3106"/>
  <c r="F21" i="3106"/>
  <c r="P20" i="3106"/>
  <c r="O20" i="3106"/>
  <c r="N20" i="3106"/>
  <c r="H20" i="3106"/>
  <c r="G20" i="3106"/>
  <c r="F20" i="3106"/>
  <c r="P19" i="3106"/>
  <c r="O19" i="3106"/>
  <c r="N19" i="3106"/>
  <c r="H19" i="3106"/>
  <c r="G19" i="3106"/>
  <c r="F19" i="3106"/>
  <c r="P18" i="3106"/>
  <c r="O18" i="3106"/>
  <c r="N18" i="3106"/>
  <c r="H18" i="3106"/>
  <c r="G18" i="3106"/>
  <c r="F18" i="3106"/>
  <c r="H17" i="3106"/>
  <c r="G17" i="3106"/>
  <c r="F17" i="3106"/>
  <c r="H16" i="3106"/>
  <c r="H23" i="3106" s="1"/>
  <c r="G16" i="3106"/>
  <c r="F16" i="3106"/>
  <c r="G9" i="3106"/>
  <c r="E29" i="3106" s="1"/>
  <c r="E9" i="3106"/>
  <c r="F44" i="3105"/>
  <c r="F43" i="3105"/>
  <c r="O30" i="3105"/>
  <c r="O29" i="3105"/>
  <c r="L23" i="3105"/>
  <c r="H44" i="3105" s="1"/>
  <c r="D23" i="3105"/>
  <c r="H43" i="3105" s="1"/>
  <c r="P22" i="3105"/>
  <c r="O22" i="3105"/>
  <c r="N22" i="3105"/>
  <c r="H22" i="3105"/>
  <c r="G22" i="3105"/>
  <c r="F22" i="3105"/>
  <c r="P21" i="3105"/>
  <c r="O21" i="3105"/>
  <c r="N21" i="3105"/>
  <c r="H21" i="3105"/>
  <c r="G21" i="3105"/>
  <c r="F21" i="3105"/>
  <c r="P20" i="3105"/>
  <c r="O20" i="3105"/>
  <c r="N20" i="3105"/>
  <c r="H20" i="3105"/>
  <c r="G20" i="3105"/>
  <c r="F20" i="3105"/>
  <c r="P19" i="3105"/>
  <c r="O19" i="3105"/>
  <c r="N19" i="3105"/>
  <c r="H19" i="3105"/>
  <c r="G19" i="3105"/>
  <c r="F19" i="3105"/>
  <c r="P18" i="3105"/>
  <c r="O18" i="3105"/>
  <c r="N18" i="3105"/>
  <c r="H18" i="3105"/>
  <c r="G18" i="3105"/>
  <c r="F18" i="3105"/>
  <c r="H17" i="3105"/>
  <c r="G17" i="3105"/>
  <c r="F17" i="3105"/>
  <c r="H16" i="3105"/>
  <c r="H23" i="3105" s="1"/>
  <c r="G16" i="3105"/>
  <c r="F16" i="3105"/>
  <c r="G9" i="3105"/>
  <c r="E29" i="3105" s="1"/>
  <c r="E9" i="3105"/>
  <c r="F44" i="3104"/>
  <c r="F43" i="3104"/>
  <c r="O30" i="3104"/>
  <c r="O29" i="3104"/>
  <c r="L23" i="3104"/>
  <c r="H44" i="3104" s="1"/>
  <c r="D23" i="3104"/>
  <c r="H43" i="3104" s="1"/>
  <c r="P22" i="3104"/>
  <c r="O22" i="3104"/>
  <c r="N22" i="3104"/>
  <c r="H22" i="3104"/>
  <c r="G22" i="3104"/>
  <c r="F22" i="3104"/>
  <c r="P21" i="3104"/>
  <c r="O21" i="3104"/>
  <c r="N21" i="3104"/>
  <c r="H21" i="3104"/>
  <c r="G21" i="3104"/>
  <c r="F21" i="3104"/>
  <c r="P20" i="3104"/>
  <c r="O20" i="3104"/>
  <c r="N20" i="3104"/>
  <c r="H20" i="3104"/>
  <c r="G20" i="3104"/>
  <c r="F20" i="3104"/>
  <c r="P19" i="3104"/>
  <c r="O19" i="3104"/>
  <c r="N19" i="3104"/>
  <c r="H19" i="3104"/>
  <c r="G19" i="3104"/>
  <c r="F19" i="3104"/>
  <c r="H18" i="3104"/>
  <c r="G18" i="3104"/>
  <c r="F18" i="3104"/>
  <c r="H17" i="3104"/>
  <c r="G17" i="3104"/>
  <c r="F17" i="3104"/>
  <c r="H16" i="3104"/>
  <c r="H23" i="3104" s="1"/>
  <c r="G16" i="3104"/>
  <c r="F16" i="3104"/>
  <c r="G9" i="3104"/>
  <c r="E29" i="3104" s="1"/>
  <c r="E9" i="3104"/>
  <c r="F44" i="3103"/>
  <c r="F43" i="3103"/>
  <c r="O30" i="3103"/>
  <c r="O29" i="3103"/>
  <c r="L23" i="3103"/>
  <c r="H44" i="3103" s="1"/>
  <c r="D23" i="3103"/>
  <c r="H43" i="3103" s="1"/>
  <c r="P22" i="3103"/>
  <c r="O22" i="3103"/>
  <c r="N22" i="3103"/>
  <c r="H22" i="3103"/>
  <c r="G22" i="3103"/>
  <c r="F22" i="3103"/>
  <c r="P21" i="3103"/>
  <c r="O21" i="3103"/>
  <c r="N21" i="3103"/>
  <c r="H21" i="3103"/>
  <c r="G21" i="3103"/>
  <c r="F21" i="3103"/>
  <c r="P20" i="3103"/>
  <c r="O20" i="3103"/>
  <c r="N20" i="3103"/>
  <c r="H20" i="3103"/>
  <c r="G20" i="3103"/>
  <c r="F20" i="3103"/>
  <c r="P19" i="3103"/>
  <c r="O19" i="3103"/>
  <c r="N19" i="3103"/>
  <c r="H19" i="3103"/>
  <c r="G19" i="3103"/>
  <c r="F19" i="3103"/>
  <c r="H18" i="3103"/>
  <c r="G18" i="3103"/>
  <c r="F18" i="3103"/>
  <c r="H17" i="3103"/>
  <c r="G17" i="3103"/>
  <c r="F17" i="3103"/>
  <c r="H16" i="3103"/>
  <c r="H23" i="3103" s="1"/>
  <c r="G16" i="3103"/>
  <c r="F16" i="3103"/>
  <c r="G9" i="3103"/>
  <c r="E29" i="3103" s="1"/>
  <c r="E9" i="3103"/>
  <c r="F44" i="3102"/>
  <c r="F43" i="3102"/>
  <c r="O30" i="3102"/>
  <c r="O29" i="3102"/>
  <c r="L23" i="3102"/>
  <c r="H44" i="3102" s="1"/>
  <c r="D23" i="3102"/>
  <c r="H43" i="3102" s="1"/>
  <c r="P22" i="3102"/>
  <c r="O22" i="3102"/>
  <c r="N22" i="3102"/>
  <c r="H22" i="3102"/>
  <c r="G22" i="3102"/>
  <c r="F22" i="3102"/>
  <c r="P21" i="3102"/>
  <c r="O21" i="3102"/>
  <c r="N21" i="3102"/>
  <c r="H21" i="3102"/>
  <c r="G21" i="3102"/>
  <c r="F21" i="3102"/>
  <c r="P20" i="3102"/>
  <c r="O20" i="3102"/>
  <c r="N20" i="3102"/>
  <c r="H20" i="3102"/>
  <c r="G20" i="3102"/>
  <c r="F20" i="3102"/>
  <c r="P19" i="3102"/>
  <c r="O19" i="3102"/>
  <c r="N19" i="3102"/>
  <c r="H19" i="3102"/>
  <c r="G19" i="3102"/>
  <c r="F19" i="3102"/>
  <c r="P18" i="3102"/>
  <c r="O18" i="3102"/>
  <c r="N18" i="3102"/>
  <c r="H18" i="3102"/>
  <c r="G18" i="3102"/>
  <c r="F18" i="3102"/>
  <c r="H17" i="3102"/>
  <c r="G17" i="3102"/>
  <c r="F17" i="3102"/>
  <c r="H16" i="3102"/>
  <c r="H23" i="3102" s="1"/>
  <c r="G16" i="3102"/>
  <c r="F16" i="3102"/>
  <c r="G9" i="3102"/>
  <c r="E29" i="3102" s="1"/>
  <c r="E9" i="3102"/>
  <c r="F44" i="3098"/>
  <c r="F43" i="3098"/>
  <c r="O30" i="3098"/>
  <c r="O29" i="3098"/>
  <c r="L23" i="3098"/>
  <c r="H44" i="3098" s="1"/>
  <c r="D23" i="3098"/>
  <c r="H43" i="3098" s="1"/>
  <c r="P22" i="3098"/>
  <c r="O22" i="3098"/>
  <c r="N22" i="3098"/>
  <c r="H22" i="3098"/>
  <c r="G22" i="3098"/>
  <c r="F22" i="3098"/>
  <c r="P21" i="3098"/>
  <c r="O21" i="3098"/>
  <c r="N21" i="3098"/>
  <c r="H21" i="3098"/>
  <c r="G21" i="3098"/>
  <c r="F21" i="3098"/>
  <c r="P20" i="3098"/>
  <c r="O20" i="3098"/>
  <c r="N20" i="3098"/>
  <c r="H20" i="3098"/>
  <c r="G20" i="3098"/>
  <c r="F20" i="3098"/>
  <c r="P19" i="3098"/>
  <c r="O19" i="3098"/>
  <c r="N19" i="3098"/>
  <c r="H19" i="3098"/>
  <c r="G19" i="3098"/>
  <c r="F19" i="3098"/>
  <c r="P18" i="3098"/>
  <c r="O18" i="3098"/>
  <c r="N18" i="3098"/>
  <c r="H18" i="3098"/>
  <c r="G18" i="3098"/>
  <c r="F18" i="3098"/>
  <c r="H17" i="3098"/>
  <c r="G17" i="3098"/>
  <c r="F17" i="3098"/>
  <c r="H16" i="3098"/>
  <c r="H23" i="3098" s="1"/>
  <c r="G16" i="3098"/>
  <c r="F16" i="3098"/>
  <c r="G9" i="3098"/>
  <c r="E29" i="3098" s="1"/>
  <c r="E9" i="3098"/>
  <c r="F44" i="3097"/>
  <c r="F43" i="3097"/>
  <c r="O30" i="3097"/>
  <c r="O29" i="3097"/>
  <c r="L23" i="3097"/>
  <c r="H44" i="3097" s="1"/>
  <c r="D23" i="3097"/>
  <c r="H43" i="3097" s="1"/>
  <c r="P22" i="3097"/>
  <c r="O22" i="3097"/>
  <c r="N22" i="3097"/>
  <c r="H22" i="3097"/>
  <c r="G22" i="3097"/>
  <c r="F22" i="3097"/>
  <c r="P21" i="3097"/>
  <c r="O21" i="3097"/>
  <c r="N21" i="3097"/>
  <c r="H21" i="3097"/>
  <c r="G21" i="3097"/>
  <c r="F21" i="3097"/>
  <c r="P20" i="3097"/>
  <c r="O20" i="3097"/>
  <c r="N20" i="3097"/>
  <c r="H20" i="3097"/>
  <c r="G20" i="3097"/>
  <c r="F20" i="3097"/>
  <c r="P19" i="3097"/>
  <c r="O19" i="3097"/>
  <c r="N19" i="3097"/>
  <c r="H19" i="3097"/>
  <c r="G19" i="3097"/>
  <c r="F19" i="3097"/>
  <c r="P18" i="3097"/>
  <c r="O18" i="3097"/>
  <c r="N18" i="3097"/>
  <c r="H18" i="3097"/>
  <c r="G18" i="3097"/>
  <c r="F18" i="3097"/>
  <c r="P17" i="3097"/>
  <c r="O17" i="3097"/>
  <c r="N17" i="3097"/>
  <c r="H17" i="3097"/>
  <c r="G17" i="3097"/>
  <c r="F17" i="3097"/>
  <c r="P16" i="3097"/>
  <c r="O16" i="3097"/>
  <c r="N16" i="3097"/>
  <c r="H16" i="3097"/>
  <c r="H23" i="3097" s="1"/>
  <c r="G16" i="3097"/>
  <c r="F16" i="3097"/>
  <c r="G9" i="3097"/>
  <c r="E29" i="3097" s="1"/>
  <c r="E9" i="3097"/>
  <c r="F44" i="3096"/>
  <c r="F43" i="3096"/>
  <c r="O30" i="3096"/>
  <c r="O29" i="3096"/>
  <c r="L23" i="3096"/>
  <c r="H44" i="3096" s="1"/>
  <c r="D23" i="3096"/>
  <c r="H43" i="3096" s="1"/>
  <c r="P22" i="3096"/>
  <c r="O22" i="3096"/>
  <c r="N22" i="3096"/>
  <c r="H22" i="3096"/>
  <c r="G22" i="3096"/>
  <c r="F22" i="3096"/>
  <c r="P21" i="3096"/>
  <c r="O21" i="3096"/>
  <c r="N21" i="3096"/>
  <c r="H21" i="3096"/>
  <c r="G21" i="3096"/>
  <c r="F21" i="3096"/>
  <c r="P20" i="3096"/>
  <c r="O20" i="3096"/>
  <c r="N20" i="3096"/>
  <c r="H20" i="3096"/>
  <c r="G20" i="3096"/>
  <c r="F20" i="3096"/>
  <c r="P19" i="3096"/>
  <c r="O19" i="3096"/>
  <c r="N19" i="3096"/>
  <c r="H19" i="3096"/>
  <c r="G19" i="3096"/>
  <c r="F19" i="3096"/>
  <c r="H18" i="3096"/>
  <c r="G18" i="3096"/>
  <c r="F18" i="3096"/>
  <c r="H17" i="3096"/>
  <c r="G17" i="3096"/>
  <c r="F17" i="3096"/>
  <c r="H16" i="3096"/>
  <c r="H23" i="3096" s="1"/>
  <c r="G16" i="3096"/>
  <c r="F16" i="3096"/>
  <c r="G9" i="3096"/>
  <c r="E29" i="3096" s="1"/>
  <c r="E9" i="3096"/>
  <c r="F44" i="3095"/>
  <c r="F43" i="3095"/>
  <c r="O30" i="3095"/>
  <c r="O29" i="3095"/>
  <c r="L23" i="3095"/>
  <c r="H44" i="3095" s="1"/>
  <c r="D23" i="3095"/>
  <c r="H43" i="3095" s="1"/>
  <c r="P22" i="3095"/>
  <c r="O22" i="3095"/>
  <c r="N22" i="3095"/>
  <c r="H22" i="3095"/>
  <c r="G22" i="3095"/>
  <c r="F22" i="3095"/>
  <c r="P21" i="3095"/>
  <c r="O21" i="3095"/>
  <c r="N21" i="3095"/>
  <c r="H21" i="3095"/>
  <c r="G21" i="3095"/>
  <c r="F21" i="3095"/>
  <c r="P20" i="3095"/>
  <c r="O20" i="3095"/>
  <c r="N20" i="3095"/>
  <c r="H20" i="3095"/>
  <c r="G20" i="3095"/>
  <c r="F20" i="3095"/>
  <c r="P19" i="3095"/>
  <c r="O19" i="3095"/>
  <c r="N19" i="3095"/>
  <c r="H19" i="3095"/>
  <c r="G19" i="3095"/>
  <c r="F19" i="3095"/>
  <c r="H18" i="3095"/>
  <c r="G18" i="3095"/>
  <c r="F18" i="3095"/>
  <c r="H17" i="3095"/>
  <c r="G17" i="3095"/>
  <c r="F17" i="3095"/>
  <c r="H16" i="3095"/>
  <c r="H23" i="3095" s="1"/>
  <c r="G16" i="3095"/>
  <c r="F16" i="3095"/>
  <c r="G9" i="3095"/>
  <c r="E29" i="3095" s="1"/>
  <c r="E9" i="3095"/>
  <c r="F44" i="3094"/>
  <c r="F43" i="3094"/>
  <c r="T38" i="3094"/>
  <c r="R38" i="3094"/>
  <c r="O30" i="3094"/>
  <c r="O29" i="3094"/>
  <c r="L23" i="3094"/>
  <c r="H44" i="3094" s="1"/>
  <c r="D23" i="3094"/>
  <c r="H43" i="3094" s="1"/>
  <c r="P22" i="3094"/>
  <c r="O22" i="3094"/>
  <c r="N22" i="3094"/>
  <c r="H22" i="3094"/>
  <c r="G22" i="3094"/>
  <c r="F22" i="3094"/>
  <c r="P21" i="3094"/>
  <c r="O21" i="3094"/>
  <c r="N21" i="3094"/>
  <c r="H21" i="3094"/>
  <c r="G21" i="3094"/>
  <c r="F21" i="3094"/>
  <c r="P20" i="3094"/>
  <c r="O20" i="3094"/>
  <c r="N20" i="3094"/>
  <c r="H20" i="3094"/>
  <c r="G20" i="3094"/>
  <c r="F20" i="3094"/>
  <c r="P19" i="3094"/>
  <c r="O19" i="3094"/>
  <c r="N19" i="3094"/>
  <c r="H19" i="3094"/>
  <c r="G19" i="3094"/>
  <c r="F19" i="3094"/>
  <c r="P18" i="3094"/>
  <c r="O18" i="3094"/>
  <c r="N18" i="3094"/>
  <c r="H18" i="3094"/>
  <c r="G18" i="3094"/>
  <c r="F18" i="3094"/>
  <c r="P17" i="3094"/>
  <c r="O17" i="3094"/>
  <c r="N17" i="3094"/>
  <c r="H17" i="3094"/>
  <c r="G17" i="3094"/>
  <c r="F17" i="3094"/>
  <c r="P16" i="3094"/>
  <c r="O16" i="3094"/>
  <c r="N16" i="3094"/>
  <c r="H16" i="3094"/>
  <c r="H23" i="3094" s="1"/>
  <c r="G16" i="3094"/>
  <c r="F16" i="3094"/>
  <c r="G9" i="3094"/>
  <c r="E29" i="3094" s="1"/>
  <c r="E9" i="3094"/>
  <c r="F44" i="3093"/>
  <c r="F43" i="3093"/>
  <c r="R38" i="3093"/>
  <c r="O30" i="3093"/>
  <c r="O29" i="3093"/>
  <c r="L23" i="3093"/>
  <c r="H44" i="3093" s="1"/>
  <c r="D23" i="3093"/>
  <c r="H43" i="3093" s="1"/>
  <c r="P22" i="3093"/>
  <c r="O22" i="3093"/>
  <c r="N22" i="3093"/>
  <c r="H22" i="3093"/>
  <c r="G22" i="3093"/>
  <c r="F22" i="3093"/>
  <c r="P21" i="3093"/>
  <c r="O21" i="3093"/>
  <c r="N21" i="3093"/>
  <c r="H21" i="3093"/>
  <c r="G21" i="3093"/>
  <c r="F21" i="3093"/>
  <c r="P20" i="3093"/>
  <c r="O20" i="3093"/>
  <c r="N20" i="3093"/>
  <c r="H20" i="3093"/>
  <c r="G20" i="3093"/>
  <c r="F20" i="3093"/>
  <c r="P19" i="3093"/>
  <c r="O19" i="3093"/>
  <c r="N19" i="3093"/>
  <c r="H19" i="3093"/>
  <c r="G19" i="3093"/>
  <c r="F19" i="3093"/>
  <c r="P18" i="3093"/>
  <c r="O18" i="3093"/>
  <c r="N18" i="3093"/>
  <c r="H18" i="3093"/>
  <c r="G18" i="3093"/>
  <c r="F18" i="3093"/>
  <c r="P17" i="3093"/>
  <c r="O17" i="3093"/>
  <c r="N17" i="3093"/>
  <c r="H17" i="3093"/>
  <c r="G17" i="3093"/>
  <c r="F17" i="3093"/>
  <c r="H16" i="3093"/>
  <c r="H23" i="3093" s="1"/>
  <c r="G16" i="3093"/>
  <c r="F16" i="3093"/>
  <c r="G9" i="3093"/>
  <c r="E29" i="3093" s="1"/>
  <c r="E9" i="3093"/>
  <c r="T38" i="3092"/>
  <c r="F44" i="3092"/>
  <c r="F43" i="3092"/>
  <c r="R38" i="3092"/>
  <c r="O30" i="3092"/>
  <c r="O29" i="3092"/>
  <c r="L23" i="3092"/>
  <c r="H44" i="3092" s="1"/>
  <c r="D23" i="3092"/>
  <c r="H43" i="3092" s="1"/>
  <c r="P22" i="3092"/>
  <c r="O22" i="3092"/>
  <c r="N22" i="3092"/>
  <c r="H22" i="3092"/>
  <c r="G22" i="3092"/>
  <c r="F22" i="3092"/>
  <c r="P21" i="3092"/>
  <c r="O21" i="3092"/>
  <c r="N21" i="3092"/>
  <c r="H21" i="3092"/>
  <c r="G21" i="3092"/>
  <c r="F21" i="3092"/>
  <c r="P20" i="3092"/>
  <c r="O20" i="3092"/>
  <c r="N20" i="3092"/>
  <c r="H20" i="3092"/>
  <c r="G20" i="3092"/>
  <c r="F20" i="3092"/>
  <c r="P19" i="3092"/>
  <c r="O19" i="3092"/>
  <c r="N19" i="3092"/>
  <c r="H19" i="3092"/>
  <c r="G19" i="3092"/>
  <c r="F19" i="3092"/>
  <c r="P18" i="3092"/>
  <c r="O18" i="3092"/>
  <c r="N18" i="3092"/>
  <c r="H18" i="3092"/>
  <c r="G18" i="3092"/>
  <c r="F18" i="3092"/>
  <c r="P17" i="3092"/>
  <c r="O17" i="3092"/>
  <c r="N17" i="3092"/>
  <c r="H17" i="3092"/>
  <c r="G17" i="3092"/>
  <c r="F17" i="3092"/>
  <c r="H16" i="3092"/>
  <c r="H23" i="3092" s="1"/>
  <c r="G16" i="3092"/>
  <c r="F16" i="3092"/>
  <c r="G9" i="3092"/>
  <c r="E29" i="3092" s="1"/>
  <c r="E9" i="3092"/>
  <c r="F44" i="3089"/>
  <c r="F43" i="3089"/>
  <c r="T38" i="3089"/>
  <c r="R38" i="3089"/>
  <c r="O30" i="3089"/>
  <c r="O29" i="3089"/>
  <c r="L23" i="3089"/>
  <c r="H44" i="3089" s="1"/>
  <c r="D23" i="3089"/>
  <c r="H43" i="3089" s="1"/>
  <c r="P22" i="3089"/>
  <c r="O22" i="3089"/>
  <c r="N22" i="3089"/>
  <c r="H22" i="3089"/>
  <c r="G22" i="3089"/>
  <c r="F22" i="3089"/>
  <c r="P21" i="3089"/>
  <c r="O21" i="3089"/>
  <c r="N21" i="3089"/>
  <c r="H21" i="3089"/>
  <c r="G21" i="3089"/>
  <c r="F21" i="3089"/>
  <c r="P20" i="3089"/>
  <c r="O20" i="3089"/>
  <c r="N20" i="3089"/>
  <c r="H20" i="3089"/>
  <c r="G20" i="3089"/>
  <c r="F20" i="3089"/>
  <c r="P19" i="3089"/>
  <c r="O19" i="3089"/>
  <c r="N19" i="3089"/>
  <c r="H19" i="3089"/>
  <c r="G19" i="3089"/>
  <c r="F19" i="3089"/>
  <c r="P18" i="3089"/>
  <c r="O18" i="3089"/>
  <c r="N18" i="3089"/>
  <c r="H18" i="3089"/>
  <c r="G18" i="3089"/>
  <c r="F18" i="3089"/>
  <c r="P17" i="3089"/>
  <c r="O17" i="3089"/>
  <c r="N17" i="3089"/>
  <c r="H17" i="3089"/>
  <c r="G17" i="3089"/>
  <c r="F17" i="3089"/>
  <c r="H16" i="3089"/>
  <c r="H23" i="3089" s="1"/>
  <c r="G16" i="3089"/>
  <c r="F16" i="3089"/>
  <c r="G9" i="3089"/>
  <c r="E29" i="3089" s="1"/>
  <c r="E9" i="3089"/>
  <c r="F44" i="3088"/>
  <c r="F43" i="3088"/>
  <c r="T38" i="3088"/>
  <c r="R38" i="3088"/>
  <c r="O30" i="3088"/>
  <c r="O29" i="3088"/>
  <c r="L23" i="3088"/>
  <c r="H44" i="3088" s="1"/>
  <c r="D23" i="3088"/>
  <c r="H43" i="3088" s="1"/>
  <c r="P22" i="3088"/>
  <c r="O22" i="3088"/>
  <c r="N22" i="3088"/>
  <c r="H22" i="3088"/>
  <c r="G22" i="3088"/>
  <c r="F22" i="3088"/>
  <c r="P21" i="3088"/>
  <c r="O21" i="3088"/>
  <c r="N21" i="3088"/>
  <c r="H21" i="3088"/>
  <c r="G21" i="3088"/>
  <c r="F21" i="3088"/>
  <c r="P20" i="3088"/>
  <c r="O20" i="3088"/>
  <c r="N20" i="3088"/>
  <c r="H20" i="3088"/>
  <c r="G20" i="3088"/>
  <c r="F20" i="3088"/>
  <c r="P19" i="3088"/>
  <c r="O19" i="3088"/>
  <c r="N19" i="3088"/>
  <c r="H19" i="3088"/>
  <c r="G19" i="3088"/>
  <c r="F19" i="3088"/>
  <c r="P18" i="3088"/>
  <c r="O18" i="3088"/>
  <c r="N18" i="3088"/>
  <c r="H18" i="3088"/>
  <c r="G18" i="3088"/>
  <c r="F18" i="3088"/>
  <c r="P17" i="3088"/>
  <c r="O17" i="3088"/>
  <c r="N17" i="3088"/>
  <c r="H17" i="3088"/>
  <c r="G17" i="3088"/>
  <c r="F17" i="3088"/>
  <c r="H16" i="3088"/>
  <c r="H23" i="3088" s="1"/>
  <c r="G16" i="3088"/>
  <c r="F16" i="3088"/>
  <c r="G9" i="3088"/>
  <c r="E29" i="3088" s="1"/>
  <c r="E9" i="3088"/>
  <c r="T38" i="3087"/>
  <c r="R38" i="3087"/>
  <c r="F44" i="3087"/>
  <c r="F43" i="3087"/>
  <c r="O30" i="3087"/>
  <c r="O29" i="3087"/>
  <c r="L23" i="3087"/>
  <c r="H44" i="3087" s="1"/>
  <c r="D23" i="3087"/>
  <c r="H43" i="3087" s="1"/>
  <c r="P22" i="3087"/>
  <c r="O22" i="3087"/>
  <c r="N22" i="3087"/>
  <c r="H22" i="3087"/>
  <c r="G22" i="3087"/>
  <c r="F22" i="3087"/>
  <c r="P21" i="3087"/>
  <c r="O21" i="3087"/>
  <c r="N21" i="3087"/>
  <c r="H21" i="3087"/>
  <c r="G21" i="3087"/>
  <c r="F21" i="3087"/>
  <c r="P20" i="3087"/>
  <c r="O20" i="3087"/>
  <c r="N20" i="3087"/>
  <c r="H20" i="3087"/>
  <c r="G20" i="3087"/>
  <c r="F20" i="3087"/>
  <c r="P19" i="3087"/>
  <c r="O19" i="3087"/>
  <c r="N19" i="3087"/>
  <c r="H19" i="3087"/>
  <c r="G19" i="3087"/>
  <c r="F19" i="3087"/>
  <c r="P18" i="3087"/>
  <c r="O18" i="3087"/>
  <c r="N18" i="3087"/>
  <c r="H18" i="3087"/>
  <c r="G18" i="3087"/>
  <c r="F18" i="3087"/>
  <c r="H17" i="3087"/>
  <c r="G17" i="3087"/>
  <c r="F17" i="3087"/>
  <c r="H16" i="3087"/>
  <c r="H23" i="3087" s="1"/>
  <c r="G16" i="3087"/>
  <c r="F16" i="3087"/>
  <c r="G9" i="3087"/>
  <c r="E29" i="3087" s="1"/>
  <c r="E9" i="3087"/>
  <c r="F44" i="3086"/>
  <c r="F43" i="3086"/>
  <c r="R38" i="3086"/>
  <c r="O30" i="3086"/>
  <c r="O29" i="3086"/>
  <c r="L23" i="3086"/>
  <c r="H44" i="3086" s="1"/>
  <c r="D23" i="3086"/>
  <c r="H43" i="3086" s="1"/>
  <c r="P22" i="3086"/>
  <c r="O22" i="3086"/>
  <c r="N22" i="3086"/>
  <c r="H22" i="3086"/>
  <c r="G22" i="3086"/>
  <c r="F22" i="3086"/>
  <c r="P21" i="3086"/>
  <c r="O21" i="3086"/>
  <c r="N21" i="3086"/>
  <c r="H21" i="3086"/>
  <c r="G21" i="3086"/>
  <c r="F21" i="3086"/>
  <c r="P20" i="3086"/>
  <c r="O20" i="3086"/>
  <c r="N20" i="3086"/>
  <c r="H20" i="3086"/>
  <c r="G20" i="3086"/>
  <c r="F20" i="3086"/>
  <c r="P19" i="3086"/>
  <c r="O19" i="3086"/>
  <c r="N19" i="3086"/>
  <c r="H19" i="3086"/>
  <c r="G19" i="3086"/>
  <c r="F19" i="3086"/>
  <c r="H18" i="3086"/>
  <c r="G18" i="3086"/>
  <c r="F18" i="3086"/>
  <c r="H17" i="3086"/>
  <c r="G17" i="3086"/>
  <c r="F17" i="3086"/>
  <c r="H16" i="3086"/>
  <c r="H23" i="3086" s="1"/>
  <c r="G16" i="3086"/>
  <c r="F16" i="3086"/>
  <c r="G9" i="3086"/>
  <c r="E29" i="3086" s="1"/>
  <c r="E9" i="3086"/>
  <c r="F44" i="3085"/>
  <c r="F43" i="3085"/>
  <c r="R38" i="3085"/>
  <c r="O30" i="3085"/>
  <c r="O29" i="3085"/>
  <c r="L23" i="3085"/>
  <c r="H44" i="3085" s="1"/>
  <c r="D23" i="3085"/>
  <c r="H43" i="3085" s="1"/>
  <c r="P22" i="3085"/>
  <c r="O22" i="3085"/>
  <c r="N22" i="3085"/>
  <c r="H22" i="3085"/>
  <c r="G22" i="3085"/>
  <c r="F22" i="3085"/>
  <c r="P21" i="3085"/>
  <c r="O21" i="3085"/>
  <c r="N21" i="3085"/>
  <c r="H21" i="3085"/>
  <c r="G21" i="3085"/>
  <c r="F21" i="3085"/>
  <c r="P20" i="3085"/>
  <c r="O20" i="3085"/>
  <c r="N20" i="3085"/>
  <c r="H20" i="3085"/>
  <c r="G20" i="3085"/>
  <c r="F20" i="3085"/>
  <c r="P19" i="3085"/>
  <c r="O19" i="3085"/>
  <c r="N19" i="3085"/>
  <c r="H19" i="3085"/>
  <c r="G19" i="3085"/>
  <c r="F19" i="3085"/>
  <c r="H18" i="3085"/>
  <c r="G18" i="3085"/>
  <c r="F18" i="3085"/>
  <c r="H17" i="3085"/>
  <c r="G17" i="3085"/>
  <c r="F17" i="3085"/>
  <c r="H16" i="3085"/>
  <c r="H23" i="3085" s="1"/>
  <c r="G16" i="3085"/>
  <c r="F16" i="3085"/>
  <c r="G9" i="3085"/>
  <c r="E29" i="3085" s="1"/>
  <c r="E9" i="3085"/>
  <c r="F44" i="3084"/>
  <c r="F43" i="3084"/>
  <c r="R38" i="3084"/>
  <c r="O30" i="3084"/>
  <c r="O29" i="3084"/>
  <c r="L23" i="3084"/>
  <c r="H44" i="3084" s="1"/>
  <c r="D23" i="3084"/>
  <c r="P22" i="3084"/>
  <c r="O22" i="3084"/>
  <c r="N22" i="3084"/>
  <c r="H22" i="3084"/>
  <c r="G22" i="3084"/>
  <c r="F22" i="3084"/>
  <c r="P21" i="3084"/>
  <c r="O21" i="3084"/>
  <c r="N21" i="3084"/>
  <c r="H21" i="3084"/>
  <c r="G21" i="3084"/>
  <c r="F21" i="3084"/>
  <c r="P20" i="3084"/>
  <c r="O20" i="3084"/>
  <c r="N20" i="3084"/>
  <c r="H20" i="3084"/>
  <c r="G20" i="3084"/>
  <c r="F20" i="3084"/>
  <c r="P19" i="3084"/>
  <c r="O19" i="3084"/>
  <c r="N19" i="3084"/>
  <c r="H19" i="3084"/>
  <c r="G19" i="3084"/>
  <c r="F19" i="3084"/>
  <c r="P18" i="3084"/>
  <c r="O18" i="3084"/>
  <c r="N18" i="3084"/>
  <c r="H18" i="3084"/>
  <c r="G18" i="3084"/>
  <c r="F18" i="3084"/>
  <c r="P17" i="3084"/>
  <c r="O17" i="3084"/>
  <c r="N17" i="3084"/>
  <c r="H17" i="3084"/>
  <c r="G17" i="3084"/>
  <c r="F17" i="3084"/>
  <c r="P16" i="3084"/>
  <c r="O16" i="3084"/>
  <c r="N16" i="3084"/>
  <c r="H16" i="3084"/>
  <c r="H23" i="3084" s="1"/>
  <c r="G16" i="3084"/>
  <c r="F16" i="3084"/>
  <c r="G9" i="3084"/>
  <c r="E29" i="3084" s="1"/>
  <c r="E9" i="3084"/>
  <c r="C43" i="3084" s="1"/>
  <c r="F44" i="3083"/>
  <c r="F43" i="3083"/>
  <c r="R38" i="3083"/>
  <c r="O30" i="3083"/>
  <c r="O29" i="3083"/>
  <c r="L23" i="3083"/>
  <c r="H44" i="3083" s="1"/>
  <c r="D23" i="3083"/>
  <c r="H43" i="3083" s="1"/>
  <c r="P22" i="3083"/>
  <c r="O22" i="3083"/>
  <c r="N22" i="3083"/>
  <c r="H22" i="3083"/>
  <c r="G22" i="3083"/>
  <c r="F22" i="3083"/>
  <c r="P21" i="3083"/>
  <c r="O21" i="3083"/>
  <c r="N21" i="3083"/>
  <c r="H21" i="3083"/>
  <c r="G21" i="3083"/>
  <c r="F21" i="3083"/>
  <c r="P20" i="3083"/>
  <c r="O20" i="3083"/>
  <c r="N20" i="3083"/>
  <c r="H20" i="3083"/>
  <c r="G20" i="3083"/>
  <c r="F20" i="3083"/>
  <c r="P19" i="3083"/>
  <c r="O19" i="3083"/>
  <c r="N19" i="3083"/>
  <c r="H19" i="3083"/>
  <c r="G19" i="3083"/>
  <c r="F19" i="3083"/>
  <c r="P18" i="3083"/>
  <c r="O18" i="3083"/>
  <c r="N18" i="3083"/>
  <c r="H18" i="3083"/>
  <c r="G18" i="3083"/>
  <c r="F18" i="3083"/>
  <c r="P17" i="3083"/>
  <c r="O17" i="3083"/>
  <c r="N17" i="3083"/>
  <c r="H17" i="3083"/>
  <c r="G17" i="3083"/>
  <c r="F17" i="3083"/>
  <c r="P16" i="3083"/>
  <c r="O16" i="3083"/>
  <c r="N16" i="3083"/>
  <c r="H16" i="3083"/>
  <c r="G16" i="3083"/>
  <c r="F16" i="3083"/>
  <c r="G9" i="3083"/>
  <c r="E29" i="3083" s="1"/>
  <c r="E9" i="3083"/>
  <c r="F44" i="3082"/>
  <c r="F43" i="3082"/>
  <c r="R38" i="3082"/>
  <c r="O30" i="3082"/>
  <c r="O29" i="3082"/>
  <c r="L23" i="3082"/>
  <c r="H44" i="3082" s="1"/>
  <c r="D23" i="3082"/>
  <c r="H43" i="3082" s="1"/>
  <c r="P22" i="3082"/>
  <c r="O22" i="3082"/>
  <c r="N22" i="3082"/>
  <c r="H22" i="3082"/>
  <c r="G22" i="3082"/>
  <c r="F22" i="3082"/>
  <c r="P21" i="3082"/>
  <c r="O21" i="3082"/>
  <c r="N21" i="3082"/>
  <c r="H21" i="3082"/>
  <c r="G21" i="3082"/>
  <c r="F21" i="3082"/>
  <c r="P20" i="3082"/>
  <c r="O20" i="3082"/>
  <c r="N20" i="3082"/>
  <c r="H20" i="3082"/>
  <c r="G20" i="3082"/>
  <c r="F20" i="3082"/>
  <c r="P19" i="3082"/>
  <c r="O19" i="3082"/>
  <c r="N19" i="3082"/>
  <c r="H19" i="3082"/>
  <c r="G19" i="3082"/>
  <c r="F19" i="3082"/>
  <c r="P18" i="3082"/>
  <c r="O18" i="3082"/>
  <c r="N18" i="3082"/>
  <c r="H18" i="3082"/>
  <c r="G18" i="3082"/>
  <c r="F18" i="3082"/>
  <c r="P17" i="3082"/>
  <c r="O17" i="3082"/>
  <c r="N17" i="3082"/>
  <c r="H17" i="3082"/>
  <c r="G17" i="3082"/>
  <c r="F17" i="3082"/>
  <c r="P16" i="3082"/>
  <c r="O16" i="3082"/>
  <c r="N16" i="3082"/>
  <c r="H16" i="3082"/>
  <c r="H23" i="3082" s="1"/>
  <c r="G16" i="3082"/>
  <c r="F16" i="3082"/>
  <c r="G9" i="3082"/>
  <c r="E29" i="3082" s="1"/>
  <c r="E9" i="3082"/>
  <c r="C29" i="3082" s="1"/>
  <c r="F44" i="3081"/>
  <c r="F43" i="3081"/>
  <c r="R38" i="3081"/>
  <c r="O30" i="3081"/>
  <c r="O29" i="3081"/>
  <c r="L23" i="3081"/>
  <c r="H44" i="3081" s="1"/>
  <c r="D23" i="3081"/>
  <c r="H43" i="3081" s="1"/>
  <c r="P22" i="3081"/>
  <c r="O22" i="3081"/>
  <c r="N22" i="3081"/>
  <c r="H22" i="3081"/>
  <c r="G22" i="3081"/>
  <c r="F22" i="3081"/>
  <c r="P21" i="3081"/>
  <c r="O21" i="3081"/>
  <c r="N21" i="3081"/>
  <c r="H21" i="3081"/>
  <c r="G21" i="3081"/>
  <c r="F21" i="3081"/>
  <c r="P20" i="3081"/>
  <c r="O20" i="3081"/>
  <c r="N20" i="3081"/>
  <c r="H20" i="3081"/>
  <c r="G20" i="3081"/>
  <c r="F20" i="3081"/>
  <c r="P19" i="3081"/>
  <c r="O19" i="3081"/>
  <c r="N19" i="3081"/>
  <c r="H19" i="3081"/>
  <c r="G19" i="3081"/>
  <c r="F19" i="3081"/>
  <c r="P18" i="3081"/>
  <c r="O18" i="3081"/>
  <c r="N18" i="3081"/>
  <c r="H18" i="3081"/>
  <c r="G18" i="3081"/>
  <c r="F18" i="3081"/>
  <c r="P17" i="3081"/>
  <c r="O17" i="3081"/>
  <c r="N17" i="3081"/>
  <c r="H17" i="3081"/>
  <c r="G17" i="3081"/>
  <c r="F17" i="3081"/>
  <c r="H16" i="3081"/>
  <c r="H23" i="3081" s="1"/>
  <c r="G16" i="3081"/>
  <c r="F16" i="3081"/>
  <c r="G9" i="3081"/>
  <c r="E29" i="3081" s="1"/>
  <c r="E9" i="3081"/>
  <c r="C43" i="3081" s="1"/>
  <c r="F44" i="3080"/>
  <c r="F43" i="3080"/>
  <c r="R38" i="3080"/>
  <c r="O30" i="3080"/>
  <c r="O29" i="3080"/>
  <c r="L23" i="3080"/>
  <c r="H44" i="3080" s="1"/>
  <c r="D23" i="3080"/>
  <c r="H43" i="3080" s="1"/>
  <c r="P22" i="3080"/>
  <c r="O22" i="3080"/>
  <c r="N22" i="3080"/>
  <c r="H22" i="3080"/>
  <c r="G22" i="3080"/>
  <c r="F22" i="3080"/>
  <c r="P21" i="3080"/>
  <c r="O21" i="3080"/>
  <c r="N21" i="3080"/>
  <c r="H21" i="3080"/>
  <c r="G21" i="3080"/>
  <c r="F21" i="3080"/>
  <c r="P20" i="3080"/>
  <c r="O20" i="3080"/>
  <c r="N20" i="3080"/>
  <c r="H20" i="3080"/>
  <c r="G20" i="3080"/>
  <c r="F20" i="3080"/>
  <c r="P19" i="3080"/>
  <c r="O19" i="3080"/>
  <c r="N19" i="3080"/>
  <c r="H19" i="3080"/>
  <c r="G19" i="3080"/>
  <c r="F19" i="3080"/>
  <c r="P18" i="3080"/>
  <c r="O18" i="3080"/>
  <c r="N18" i="3080"/>
  <c r="H18" i="3080"/>
  <c r="G18" i="3080"/>
  <c r="F18" i="3080"/>
  <c r="P17" i="3080"/>
  <c r="O17" i="3080"/>
  <c r="N17" i="3080"/>
  <c r="H17" i="3080"/>
  <c r="G17" i="3080"/>
  <c r="F17" i="3080"/>
  <c r="H16" i="3080"/>
  <c r="H23" i="3080" s="1"/>
  <c r="G16" i="3080"/>
  <c r="F16" i="3080"/>
  <c r="G9" i="3080"/>
  <c r="E29" i="3080" s="1"/>
  <c r="E9" i="3080"/>
  <c r="F44" i="3079"/>
  <c r="F43" i="3079"/>
  <c r="R38" i="3079"/>
  <c r="O30" i="3079"/>
  <c r="O29" i="3079"/>
  <c r="L23" i="3079"/>
  <c r="H44" i="3079" s="1"/>
  <c r="D23" i="3079"/>
  <c r="H43" i="3079" s="1"/>
  <c r="P22" i="3079"/>
  <c r="O22" i="3079"/>
  <c r="N22" i="3079"/>
  <c r="H22" i="3079"/>
  <c r="G22" i="3079"/>
  <c r="F22" i="3079"/>
  <c r="P21" i="3079"/>
  <c r="O21" i="3079"/>
  <c r="N21" i="3079"/>
  <c r="H21" i="3079"/>
  <c r="G21" i="3079"/>
  <c r="F21" i="3079"/>
  <c r="P20" i="3079"/>
  <c r="O20" i="3079"/>
  <c r="N20" i="3079"/>
  <c r="H20" i="3079"/>
  <c r="G20" i="3079"/>
  <c r="F20" i="3079"/>
  <c r="P19" i="3079"/>
  <c r="O19" i="3079"/>
  <c r="N19" i="3079"/>
  <c r="H19" i="3079"/>
  <c r="G19" i="3079"/>
  <c r="F19" i="3079"/>
  <c r="P18" i="3079"/>
  <c r="O18" i="3079"/>
  <c r="N18" i="3079"/>
  <c r="H18" i="3079"/>
  <c r="G18" i="3079"/>
  <c r="F18" i="3079"/>
  <c r="P17" i="3079"/>
  <c r="O17" i="3079"/>
  <c r="N17" i="3079"/>
  <c r="H17" i="3079"/>
  <c r="G17" i="3079"/>
  <c r="F17" i="3079"/>
  <c r="P16" i="3079"/>
  <c r="O16" i="3079"/>
  <c r="N16" i="3079"/>
  <c r="H16" i="3079"/>
  <c r="H23" i="3079" s="1"/>
  <c r="G16" i="3079"/>
  <c r="F16" i="3079"/>
  <c r="G9" i="3079"/>
  <c r="E29" i="3079" s="1"/>
  <c r="E9" i="3079"/>
  <c r="C29" i="3079" s="1"/>
  <c r="F44" i="3078"/>
  <c r="F43" i="3078"/>
  <c r="R38" i="3078"/>
  <c r="O30" i="3078"/>
  <c r="O29" i="3078"/>
  <c r="L23" i="3078"/>
  <c r="H44" i="3078" s="1"/>
  <c r="D23" i="3078"/>
  <c r="H43" i="3078" s="1"/>
  <c r="P22" i="3078"/>
  <c r="O22" i="3078"/>
  <c r="N22" i="3078"/>
  <c r="H22" i="3078"/>
  <c r="G22" i="3078"/>
  <c r="F22" i="3078"/>
  <c r="P21" i="3078"/>
  <c r="O21" i="3078"/>
  <c r="N21" i="3078"/>
  <c r="H21" i="3078"/>
  <c r="G21" i="3078"/>
  <c r="F21" i="3078"/>
  <c r="H20" i="3078"/>
  <c r="G20" i="3078"/>
  <c r="F20" i="3078"/>
  <c r="H19" i="3078"/>
  <c r="G19" i="3078"/>
  <c r="F19" i="3078"/>
  <c r="H18" i="3078"/>
  <c r="G18" i="3078"/>
  <c r="F18" i="3078"/>
  <c r="H17" i="3078"/>
  <c r="G17" i="3078"/>
  <c r="F17" i="3078"/>
  <c r="H16" i="3078"/>
  <c r="H23" i="3078" s="1"/>
  <c r="G16" i="3078"/>
  <c r="F16" i="3078"/>
  <c r="G9" i="3078"/>
  <c r="E29" i="3078" s="1"/>
  <c r="E9" i="3078"/>
  <c r="C29" i="3078" s="1"/>
  <c r="F44" i="3077"/>
  <c r="F43" i="3077"/>
  <c r="R38" i="3077"/>
  <c r="O30" i="3077"/>
  <c r="O29" i="3077"/>
  <c r="L23" i="3077"/>
  <c r="H44" i="3077" s="1"/>
  <c r="D23" i="3077"/>
  <c r="H43" i="3077" s="1"/>
  <c r="P22" i="3077"/>
  <c r="O22" i="3077"/>
  <c r="N22" i="3077"/>
  <c r="H22" i="3077"/>
  <c r="G22" i="3077"/>
  <c r="F22" i="3077"/>
  <c r="P21" i="3077"/>
  <c r="O21" i="3077"/>
  <c r="N21" i="3077"/>
  <c r="H21" i="3077"/>
  <c r="G21" i="3077"/>
  <c r="F21" i="3077"/>
  <c r="P20" i="3077"/>
  <c r="O20" i="3077"/>
  <c r="N20" i="3077"/>
  <c r="H20" i="3077"/>
  <c r="G20" i="3077"/>
  <c r="F20" i="3077"/>
  <c r="P19" i="3077"/>
  <c r="O19" i="3077"/>
  <c r="N19" i="3077"/>
  <c r="H19" i="3077"/>
  <c r="G19" i="3077"/>
  <c r="F19" i="3077"/>
  <c r="P18" i="3077"/>
  <c r="O18" i="3077"/>
  <c r="N18" i="3077"/>
  <c r="H18" i="3077"/>
  <c r="G18" i="3077"/>
  <c r="F18" i="3077"/>
  <c r="P17" i="3077"/>
  <c r="O17" i="3077"/>
  <c r="N17" i="3077"/>
  <c r="H17" i="3077"/>
  <c r="G17" i="3077"/>
  <c r="F17" i="3077"/>
  <c r="P16" i="3077"/>
  <c r="O16" i="3077"/>
  <c r="N16" i="3077"/>
  <c r="H16" i="3077"/>
  <c r="H23" i="3077" s="1"/>
  <c r="G16" i="3077"/>
  <c r="F16" i="3077"/>
  <c r="G9" i="3077"/>
  <c r="E29" i="3077" s="1"/>
  <c r="E9" i="3077"/>
  <c r="C43" i="3077" s="1"/>
  <c r="K43" i="3077" s="1"/>
  <c r="M43" i="3077" s="1"/>
  <c r="C43" i="3125" l="1"/>
  <c r="K43" i="3125" s="1"/>
  <c r="M43" i="3125" s="1"/>
  <c r="C29" i="3125"/>
  <c r="C43" i="3124"/>
  <c r="K43" i="3124" s="1"/>
  <c r="M43" i="3124" s="1"/>
  <c r="C29" i="3124"/>
  <c r="C43" i="3123"/>
  <c r="K43" i="3123" s="1"/>
  <c r="M43" i="3123" s="1"/>
  <c r="C29" i="3123"/>
  <c r="N16" i="3123"/>
  <c r="O16" i="3123" s="1"/>
  <c r="P16" i="3123" s="1"/>
  <c r="P23" i="3123" s="1"/>
  <c r="C43" i="3122"/>
  <c r="K43" i="3122" s="1"/>
  <c r="M43" i="3122" s="1"/>
  <c r="C29" i="3122"/>
  <c r="N17" i="3122"/>
  <c r="O17" i="3122" s="1"/>
  <c r="P17" i="3122" s="1"/>
  <c r="C43" i="3121"/>
  <c r="K43" i="3121" s="1"/>
  <c r="M43" i="3121" s="1"/>
  <c r="C29" i="3121"/>
  <c r="C43" i="3120"/>
  <c r="K43" i="3120" s="1"/>
  <c r="M43" i="3120" s="1"/>
  <c r="C29" i="3120"/>
  <c r="N16" i="3120"/>
  <c r="O16" i="3120" s="1"/>
  <c r="P16" i="3120" s="1"/>
  <c r="P23" i="3120" s="1"/>
  <c r="C43" i="3119"/>
  <c r="K43" i="3119" s="1"/>
  <c r="M43" i="3119" s="1"/>
  <c r="C29" i="3119"/>
  <c r="C43" i="3118"/>
  <c r="K43" i="3118" s="1"/>
  <c r="M43" i="3118" s="1"/>
  <c r="C29" i="3118"/>
  <c r="N19" i="3118"/>
  <c r="O19" i="3118" s="1"/>
  <c r="P19" i="3118" s="1"/>
  <c r="N18" i="3118"/>
  <c r="O18" i="3118" s="1"/>
  <c r="P18" i="3118" s="1"/>
  <c r="N17" i="3118"/>
  <c r="O17" i="3118" s="1"/>
  <c r="P17" i="3118" s="1"/>
  <c r="C43" i="3117"/>
  <c r="K43" i="3117" s="1"/>
  <c r="M43" i="3117" s="1"/>
  <c r="C29" i="3117"/>
  <c r="C43" i="3116"/>
  <c r="K43" i="3116" s="1"/>
  <c r="M43" i="3116" s="1"/>
  <c r="C29" i="3116"/>
  <c r="N19" i="3116"/>
  <c r="O19" i="3116" s="1"/>
  <c r="P19" i="3116" s="1"/>
  <c r="N18" i="3116"/>
  <c r="O18" i="3116" s="1"/>
  <c r="P18" i="3116" s="1"/>
  <c r="N17" i="3116"/>
  <c r="O17" i="3116" s="1"/>
  <c r="P17" i="3116" s="1"/>
  <c r="N16" i="3116"/>
  <c r="O16" i="3116" s="1"/>
  <c r="P16" i="3116" s="1"/>
  <c r="C43" i="3115"/>
  <c r="K43" i="3115" s="1"/>
  <c r="M43" i="3115" s="1"/>
  <c r="C29" i="3115"/>
  <c r="C43" i="3114"/>
  <c r="K43" i="3114" s="1"/>
  <c r="M43" i="3114" s="1"/>
  <c r="C29" i="3114"/>
  <c r="N20" i="3114"/>
  <c r="O20" i="3114" s="1"/>
  <c r="P20" i="3114" s="1"/>
  <c r="N19" i="3114"/>
  <c r="O19" i="3114" s="1"/>
  <c r="P19" i="3114" s="1"/>
  <c r="N17" i="3114"/>
  <c r="O17" i="3114" s="1"/>
  <c r="P17" i="3114" s="1"/>
  <c r="N16" i="3114"/>
  <c r="O16" i="3114" s="1"/>
  <c r="P16" i="3114" s="1"/>
  <c r="L23" i="3114"/>
  <c r="N18" i="3114"/>
  <c r="O18" i="3114" s="1"/>
  <c r="P18" i="3114" s="1"/>
  <c r="C43" i="3113"/>
  <c r="K43" i="3113" s="1"/>
  <c r="M43" i="3113" s="1"/>
  <c r="C29" i="3113"/>
  <c r="F44" i="3113"/>
  <c r="O30" i="3113"/>
  <c r="C43" i="3112"/>
  <c r="K43" i="3112" s="1"/>
  <c r="M43" i="3112" s="1"/>
  <c r="C29" i="3112"/>
  <c r="N16" i="3112"/>
  <c r="O16" i="3112" s="1"/>
  <c r="P16" i="3112" s="1"/>
  <c r="P23" i="3112" s="1"/>
  <c r="C43" i="3111"/>
  <c r="K43" i="3111" s="1"/>
  <c r="M43" i="3111" s="1"/>
  <c r="C29" i="3111"/>
  <c r="C43" i="3110"/>
  <c r="K43" i="3110" s="1"/>
  <c r="M43" i="3110" s="1"/>
  <c r="C29" i="3110"/>
  <c r="N19" i="3110"/>
  <c r="O19" i="3110" s="1"/>
  <c r="P19" i="3110" s="1"/>
  <c r="N18" i="3110"/>
  <c r="O18" i="3110" s="1"/>
  <c r="P18" i="3110" s="1"/>
  <c r="N17" i="3110"/>
  <c r="O17" i="3110" s="1"/>
  <c r="P17" i="3110" s="1"/>
  <c r="N16" i="3110"/>
  <c r="O16" i="3110" s="1"/>
  <c r="P16" i="3110" s="1"/>
  <c r="P23" i="3094"/>
  <c r="P23" i="3097"/>
  <c r="C43" i="3109"/>
  <c r="K43" i="3109" s="1"/>
  <c r="M43" i="3109" s="1"/>
  <c r="C29" i="3109"/>
  <c r="C43" i="3108"/>
  <c r="K43" i="3108" s="1"/>
  <c r="M43" i="3108" s="1"/>
  <c r="C29" i="3108"/>
  <c r="N17" i="3108"/>
  <c r="O17" i="3108" s="1"/>
  <c r="P17" i="3108" s="1"/>
  <c r="N16" i="3108"/>
  <c r="O16" i="3108" s="1"/>
  <c r="P16" i="3108" s="1"/>
  <c r="C43" i="3107"/>
  <c r="K43" i="3107" s="1"/>
  <c r="M43" i="3107" s="1"/>
  <c r="C29" i="3107"/>
  <c r="C43" i="3106"/>
  <c r="K43" i="3106" s="1"/>
  <c r="M43" i="3106" s="1"/>
  <c r="C29" i="3106"/>
  <c r="N17" i="3106"/>
  <c r="O17" i="3106" s="1"/>
  <c r="P17" i="3106" s="1"/>
  <c r="C43" i="3105"/>
  <c r="K43" i="3105" s="1"/>
  <c r="M43" i="3105" s="1"/>
  <c r="C29" i="3105"/>
  <c r="C43" i="3104"/>
  <c r="K43" i="3104" s="1"/>
  <c r="M43" i="3104" s="1"/>
  <c r="C29" i="3104"/>
  <c r="N18" i="3104"/>
  <c r="O18" i="3104" s="1"/>
  <c r="P18" i="3104" s="1"/>
  <c r="N17" i="3104"/>
  <c r="O17" i="3104" s="1"/>
  <c r="P17" i="3104" s="1"/>
  <c r="C43" i="3103"/>
  <c r="K43" i="3103" s="1"/>
  <c r="M43" i="3103" s="1"/>
  <c r="C29" i="3103"/>
  <c r="C43" i="3102"/>
  <c r="K43" i="3102" s="1"/>
  <c r="M43" i="3102" s="1"/>
  <c r="C29" i="3102"/>
  <c r="N17" i="3102"/>
  <c r="O17" i="3102" s="1"/>
  <c r="P17" i="3102" s="1"/>
  <c r="N16" i="3102"/>
  <c r="O16" i="3102" s="1"/>
  <c r="P16" i="3102" s="1"/>
  <c r="C43" i="3098"/>
  <c r="K43" i="3098" s="1"/>
  <c r="M43" i="3098" s="1"/>
  <c r="C29" i="3098"/>
  <c r="C43" i="3097"/>
  <c r="K43" i="3097" s="1"/>
  <c r="M43" i="3097" s="1"/>
  <c r="C29" i="3097"/>
  <c r="C43" i="3096"/>
  <c r="K43" i="3096" s="1"/>
  <c r="M43" i="3096" s="1"/>
  <c r="C29" i="3096"/>
  <c r="N18" i="3096"/>
  <c r="O18" i="3096" s="1"/>
  <c r="P18" i="3096" s="1"/>
  <c r="N17" i="3096"/>
  <c r="O17" i="3096" s="1"/>
  <c r="P17" i="3096" s="1"/>
  <c r="N16" i="3096"/>
  <c r="O16" i="3096" s="1"/>
  <c r="P16" i="3096" s="1"/>
  <c r="C43" i="3095"/>
  <c r="K43" i="3095" s="1"/>
  <c r="M43" i="3095" s="1"/>
  <c r="C29" i="3095"/>
  <c r="C43" i="3094"/>
  <c r="K43" i="3094" s="1"/>
  <c r="M43" i="3094" s="1"/>
  <c r="C29" i="3094"/>
  <c r="C43" i="3093"/>
  <c r="K43" i="3093" s="1"/>
  <c r="M43" i="3093" s="1"/>
  <c r="C29" i="3093"/>
  <c r="C43" i="3092"/>
  <c r="K43" i="3092" s="1"/>
  <c r="M43" i="3092" s="1"/>
  <c r="C29" i="3092"/>
  <c r="N16" i="3092"/>
  <c r="O16" i="3092" s="1"/>
  <c r="P16" i="3092" s="1"/>
  <c r="P23" i="3092" s="1"/>
  <c r="C43" i="3089"/>
  <c r="K43" i="3089" s="1"/>
  <c r="M43" i="3089" s="1"/>
  <c r="C29" i="3089"/>
  <c r="C43" i="3088"/>
  <c r="K43" i="3088" s="1"/>
  <c r="M43" i="3088" s="1"/>
  <c r="C29" i="3088"/>
  <c r="N16" i="3088"/>
  <c r="O16" i="3088" s="1"/>
  <c r="P16" i="3088" s="1"/>
  <c r="P23" i="3088" s="1"/>
  <c r="C43" i="3087"/>
  <c r="K43" i="3087" s="1"/>
  <c r="M43" i="3087" s="1"/>
  <c r="C29" i="3087"/>
  <c r="N17" i="3087"/>
  <c r="O17" i="3087" s="1"/>
  <c r="P17" i="3087" s="1"/>
  <c r="C43" i="3086"/>
  <c r="K43" i="3086" s="1"/>
  <c r="M43" i="3086" s="1"/>
  <c r="C29" i="3086"/>
  <c r="N18" i="3086"/>
  <c r="O18" i="3086" s="1"/>
  <c r="P18" i="3086" s="1"/>
  <c r="C43" i="3085"/>
  <c r="K43" i="3085" s="1"/>
  <c r="M43" i="3085" s="1"/>
  <c r="C29" i="3085"/>
  <c r="C43" i="3080"/>
  <c r="K43" i="3080" s="1"/>
  <c r="M43" i="3080" s="1"/>
  <c r="C29" i="3080"/>
  <c r="C36" i="3080" s="1"/>
  <c r="K43" i="3081"/>
  <c r="M43" i="3081" s="1"/>
  <c r="C43" i="3083"/>
  <c r="K43" i="3083" s="1"/>
  <c r="M43" i="3083" s="1"/>
  <c r="C29" i="3083"/>
  <c r="C36" i="3083" s="1"/>
  <c r="H23" i="3083"/>
  <c r="C29" i="3084"/>
  <c r="P23" i="3077"/>
  <c r="P23" i="3084"/>
  <c r="P23" i="3083"/>
  <c r="P23" i="3079"/>
  <c r="P23" i="3082"/>
  <c r="G29" i="3084"/>
  <c r="E36" i="3084" s="1"/>
  <c r="C36" i="3084"/>
  <c r="C36" i="3078"/>
  <c r="G29" i="3078"/>
  <c r="E36" i="3078" s="1"/>
  <c r="G29" i="3082"/>
  <c r="E36" i="3082" s="1"/>
  <c r="C36" i="3082"/>
  <c r="G29" i="3079"/>
  <c r="E36" i="3079" s="1"/>
  <c r="C36" i="3079"/>
  <c r="C43" i="3082"/>
  <c r="K43" i="3082" s="1"/>
  <c r="M43" i="3082" s="1"/>
  <c r="G29" i="3083"/>
  <c r="E36" i="3083" s="1"/>
  <c r="G36" i="3083" s="1"/>
  <c r="N43" i="3083" s="1"/>
  <c r="G29" i="3080"/>
  <c r="E36" i="3080" s="1"/>
  <c r="G36" i="3080" s="1"/>
  <c r="N43" i="3080" s="1"/>
  <c r="C43" i="3079"/>
  <c r="K43" i="3079" s="1"/>
  <c r="M43" i="3079" s="1"/>
  <c r="C29" i="3077"/>
  <c r="C43" i="3078"/>
  <c r="K43" i="3078" s="1"/>
  <c r="M43" i="3078" s="1"/>
  <c r="C29" i="3081"/>
  <c r="H43" i="3084"/>
  <c r="K43" i="3084" s="1"/>
  <c r="M43" i="3084" s="1"/>
  <c r="P23" i="3110" l="1"/>
  <c r="P23" i="3116"/>
  <c r="C36" i="3125"/>
  <c r="G29" i="3125"/>
  <c r="E36" i="3125" s="1"/>
  <c r="G36" i="3125" s="1"/>
  <c r="N43" i="3125" s="1"/>
  <c r="C36" i="3124"/>
  <c r="G29" i="3124"/>
  <c r="E36" i="3124" s="1"/>
  <c r="G36" i="3124" s="1"/>
  <c r="N43" i="3124" s="1"/>
  <c r="C36" i="3123"/>
  <c r="G29" i="3123"/>
  <c r="E36" i="3123" s="1"/>
  <c r="G36" i="3123" s="1"/>
  <c r="N43" i="3123" s="1"/>
  <c r="C36" i="3122"/>
  <c r="G29" i="3122"/>
  <c r="E36" i="3122" s="1"/>
  <c r="G36" i="3122" s="1"/>
  <c r="N43" i="3122" s="1"/>
  <c r="C36" i="3121"/>
  <c r="G29" i="3121"/>
  <c r="E36" i="3121" s="1"/>
  <c r="G36" i="3121" s="1"/>
  <c r="N43" i="3121" s="1"/>
  <c r="C36" i="3120"/>
  <c r="G29" i="3120"/>
  <c r="E36" i="3120" s="1"/>
  <c r="G36" i="3120" s="1"/>
  <c r="N43" i="3120" s="1"/>
  <c r="C36" i="3119"/>
  <c r="G29" i="3119"/>
  <c r="E36" i="3119" s="1"/>
  <c r="G36" i="3119" s="1"/>
  <c r="N43" i="3119" s="1"/>
  <c r="C36" i="3118"/>
  <c r="G29" i="3118"/>
  <c r="E36" i="3118" s="1"/>
  <c r="G36" i="3118" s="1"/>
  <c r="N43" i="3118" s="1"/>
  <c r="C36" i="3117"/>
  <c r="G29" i="3117"/>
  <c r="E36" i="3117" s="1"/>
  <c r="G36" i="3117" s="1"/>
  <c r="N43" i="3117" s="1"/>
  <c r="C36" i="3116"/>
  <c r="G29" i="3116"/>
  <c r="E36" i="3116" s="1"/>
  <c r="G36" i="3116" s="1"/>
  <c r="N43" i="3116" s="1"/>
  <c r="C36" i="3115"/>
  <c r="G29" i="3115"/>
  <c r="E36" i="3115" s="1"/>
  <c r="G36" i="3115" s="1"/>
  <c r="N43" i="3115" s="1"/>
  <c r="H44" i="3114"/>
  <c r="P23" i="3114"/>
  <c r="C36" i="3114"/>
  <c r="G29" i="3114"/>
  <c r="E36" i="3114" s="1"/>
  <c r="G36" i="3114" s="1"/>
  <c r="N43" i="3114" s="1"/>
  <c r="C36" i="3113"/>
  <c r="G29" i="3113"/>
  <c r="E36" i="3113" s="1"/>
  <c r="G36" i="3113" s="1"/>
  <c r="N43" i="3113" s="1"/>
  <c r="C36" i="3112"/>
  <c r="G29" i="3112"/>
  <c r="E36" i="3112" s="1"/>
  <c r="G36" i="3112" s="1"/>
  <c r="N43" i="3112" s="1"/>
  <c r="C36" i="3111"/>
  <c r="G29" i="3111"/>
  <c r="E36" i="3111" s="1"/>
  <c r="G36" i="3111" s="1"/>
  <c r="N43" i="3111" s="1"/>
  <c r="C36" i="3110"/>
  <c r="G29" i="3110"/>
  <c r="E36" i="3110" s="1"/>
  <c r="G36" i="3110" s="1"/>
  <c r="N43" i="3110" s="1"/>
  <c r="P23" i="3108"/>
  <c r="P23" i="3096"/>
  <c r="P23" i="3102"/>
  <c r="C36" i="3109"/>
  <c r="G29" i="3109"/>
  <c r="E36" i="3109" s="1"/>
  <c r="G36" i="3109" s="1"/>
  <c r="N43" i="3109" s="1"/>
  <c r="C36" i="3108"/>
  <c r="G29" i="3108"/>
  <c r="E36" i="3108" s="1"/>
  <c r="G36" i="3108" s="1"/>
  <c r="N43" i="3108" s="1"/>
  <c r="C36" i="3107"/>
  <c r="G29" i="3107"/>
  <c r="E36" i="3107" s="1"/>
  <c r="G36" i="3107" s="1"/>
  <c r="N43" i="3107" s="1"/>
  <c r="C36" i="3106"/>
  <c r="G29" i="3106"/>
  <c r="E36" i="3106" s="1"/>
  <c r="G36" i="3106" s="1"/>
  <c r="N43" i="3106" s="1"/>
  <c r="C36" i="3105"/>
  <c r="G29" i="3105"/>
  <c r="E36" i="3105" s="1"/>
  <c r="G36" i="3105" s="1"/>
  <c r="N43" i="3105" s="1"/>
  <c r="C36" i="3104"/>
  <c r="G29" i="3104"/>
  <c r="E36" i="3104" s="1"/>
  <c r="G36" i="3104" s="1"/>
  <c r="N43" i="3104" s="1"/>
  <c r="C36" i="3103"/>
  <c r="G29" i="3103"/>
  <c r="E36" i="3103" s="1"/>
  <c r="G36" i="3103" s="1"/>
  <c r="N43" i="3103" s="1"/>
  <c r="C36" i="3102"/>
  <c r="G29" i="3102"/>
  <c r="E36" i="3102" s="1"/>
  <c r="G36" i="3102" s="1"/>
  <c r="N43" i="3102" s="1"/>
  <c r="C36" i="3098"/>
  <c r="G29" i="3098"/>
  <c r="E36" i="3098" s="1"/>
  <c r="G36" i="3098" s="1"/>
  <c r="N43" i="3098" s="1"/>
  <c r="C36" i="3097"/>
  <c r="G29" i="3097"/>
  <c r="E36" i="3097" s="1"/>
  <c r="G36" i="3097" s="1"/>
  <c r="N43" i="3097" s="1"/>
  <c r="C36" i="3096"/>
  <c r="G29" i="3096"/>
  <c r="E36" i="3096" s="1"/>
  <c r="G36" i="3096" s="1"/>
  <c r="N43" i="3096" s="1"/>
  <c r="C36" i="3095"/>
  <c r="G29" i="3095"/>
  <c r="E36" i="3095" s="1"/>
  <c r="G36" i="3095" s="1"/>
  <c r="N43" i="3095" s="1"/>
  <c r="C36" i="3094"/>
  <c r="G29" i="3094"/>
  <c r="E36" i="3094" s="1"/>
  <c r="G36" i="3094" s="1"/>
  <c r="N43" i="3094" s="1"/>
  <c r="C36" i="3093"/>
  <c r="G29" i="3093"/>
  <c r="E36" i="3093" s="1"/>
  <c r="G36" i="3093" s="1"/>
  <c r="N43" i="3093" s="1"/>
  <c r="C36" i="3092"/>
  <c r="G29" i="3092"/>
  <c r="E36" i="3092" s="1"/>
  <c r="G36" i="3092" s="1"/>
  <c r="N43" i="3092" s="1"/>
  <c r="C36" i="3089"/>
  <c r="G29" i="3089"/>
  <c r="E36" i="3089" s="1"/>
  <c r="G36" i="3089" s="1"/>
  <c r="N43" i="3089" s="1"/>
  <c r="C36" i="3088"/>
  <c r="G29" i="3088"/>
  <c r="E36" i="3088" s="1"/>
  <c r="G36" i="3088" s="1"/>
  <c r="N43" i="3088" s="1"/>
  <c r="C36" i="3087"/>
  <c r="G29" i="3087"/>
  <c r="E36" i="3087" s="1"/>
  <c r="G36" i="3087" s="1"/>
  <c r="N43" i="3087" s="1"/>
  <c r="C36" i="3086"/>
  <c r="G29" i="3086"/>
  <c r="E36" i="3086" s="1"/>
  <c r="G36" i="3086" s="1"/>
  <c r="N43" i="3086" s="1"/>
  <c r="C36" i="3085"/>
  <c r="G29" i="3085"/>
  <c r="E36" i="3085" s="1"/>
  <c r="G36" i="3085" s="1"/>
  <c r="N43" i="3085" s="1"/>
  <c r="G36" i="3079"/>
  <c r="N43" i="3079" s="1"/>
  <c r="G36" i="3082"/>
  <c r="N43" i="3082" s="1"/>
  <c r="G36" i="3084"/>
  <c r="N43" i="3084" s="1"/>
  <c r="C36" i="3077"/>
  <c r="G29" i="3077"/>
  <c r="E36" i="3077" s="1"/>
  <c r="G36" i="3077" s="1"/>
  <c r="N43" i="3077" s="1"/>
  <c r="G36" i="3078"/>
  <c r="N43" i="3078" s="1"/>
  <c r="G29" i="3081"/>
  <c r="E36" i="3081" s="1"/>
  <c r="C36" i="3081"/>
  <c r="G36" i="3081" l="1"/>
  <c r="N43" i="3081" s="1"/>
  <c r="F44" i="3076" l="1"/>
  <c r="F43" i="3076"/>
  <c r="T38" i="3076"/>
  <c r="R38" i="3076"/>
  <c r="O30" i="3076"/>
  <c r="O29" i="3076"/>
  <c r="L23" i="3076"/>
  <c r="H44" i="3076" s="1"/>
  <c r="D23" i="3076"/>
  <c r="H43" i="3076" s="1"/>
  <c r="P22" i="3076"/>
  <c r="O22" i="3076"/>
  <c r="N22" i="3076"/>
  <c r="H22" i="3076"/>
  <c r="G22" i="3076"/>
  <c r="F22" i="3076"/>
  <c r="P21" i="3076"/>
  <c r="O21" i="3076"/>
  <c r="N21" i="3076"/>
  <c r="H21" i="3076"/>
  <c r="G21" i="3076"/>
  <c r="F21" i="3076"/>
  <c r="P20" i="3076"/>
  <c r="O20" i="3076"/>
  <c r="N20" i="3076"/>
  <c r="H20" i="3076"/>
  <c r="G20" i="3076"/>
  <c r="F20" i="3076"/>
  <c r="P19" i="3076"/>
  <c r="O19" i="3076"/>
  <c r="N19" i="3076"/>
  <c r="H19" i="3076"/>
  <c r="G19" i="3076"/>
  <c r="F19" i="3076"/>
  <c r="H18" i="3076"/>
  <c r="G18" i="3076"/>
  <c r="F18" i="3076"/>
  <c r="H17" i="3076"/>
  <c r="G17" i="3076"/>
  <c r="F17" i="3076"/>
  <c r="N16" i="3076"/>
  <c r="O16" i="3076" s="1"/>
  <c r="P16" i="3076" s="1"/>
  <c r="H16" i="3076"/>
  <c r="G16" i="3076"/>
  <c r="F16" i="3076"/>
  <c r="N17" i="3076"/>
  <c r="O17" i="3076" s="1"/>
  <c r="P17" i="3076" s="1"/>
  <c r="G9" i="3076"/>
  <c r="E29" i="3076" s="1"/>
  <c r="E9" i="3076"/>
  <c r="C43" i="3076" s="1"/>
  <c r="K43" i="3076" s="1"/>
  <c r="M43" i="3076" s="1"/>
  <c r="R38" i="3063"/>
  <c r="R38" i="3062"/>
  <c r="R38" i="3053"/>
  <c r="R38" i="3051"/>
  <c r="R38" i="3050"/>
  <c r="K30" i="3040"/>
  <c r="H23" i="3076" l="1"/>
  <c r="C29" i="3076"/>
  <c r="N18" i="3076"/>
  <c r="O18" i="3076" s="1"/>
  <c r="P18" i="3076" s="1"/>
  <c r="P23" i="3076" s="1"/>
  <c r="F44" i="3067"/>
  <c r="F43" i="3067"/>
  <c r="R38" i="3067"/>
  <c r="O30" i="3067"/>
  <c r="O29" i="3067"/>
  <c r="L23" i="3067"/>
  <c r="H44" i="3067" s="1"/>
  <c r="D23" i="3067"/>
  <c r="H43" i="3067" s="1"/>
  <c r="P22" i="3067"/>
  <c r="O22" i="3067"/>
  <c r="N22" i="3067"/>
  <c r="H22" i="3067"/>
  <c r="G22" i="3067"/>
  <c r="F22" i="3067"/>
  <c r="P21" i="3067"/>
  <c r="O21" i="3067"/>
  <c r="N21" i="3067"/>
  <c r="H21" i="3067"/>
  <c r="G21" i="3067"/>
  <c r="F21" i="3067"/>
  <c r="P20" i="3067"/>
  <c r="O20" i="3067"/>
  <c r="N20" i="3067"/>
  <c r="H20" i="3067"/>
  <c r="G20" i="3067"/>
  <c r="F20" i="3067"/>
  <c r="H19" i="3067"/>
  <c r="G19" i="3067"/>
  <c r="F19" i="3067"/>
  <c r="H18" i="3067"/>
  <c r="G18" i="3067"/>
  <c r="F18" i="3067"/>
  <c r="H17" i="3067"/>
  <c r="G17" i="3067"/>
  <c r="F17" i="3067"/>
  <c r="H16" i="3067"/>
  <c r="H23" i="3067" s="1"/>
  <c r="G16" i="3067"/>
  <c r="F16" i="3067"/>
  <c r="G9" i="3067"/>
  <c r="E29" i="3067" s="1"/>
  <c r="E9" i="3067"/>
  <c r="F44" i="3066"/>
  <c r="F43" i="3066"/>
  <c r="R38" i="3066"/>
  <c r="O30" i="3066"/>
  <c r="O29" i="3066"/>
  <c r="L23" i="3066"/>
  <c r="H44" i="3066" s="1"/>
  <c r="D23" i="3066"/>
  <c r="H43" i="3066" s="1"/>
  <c r="P22" i="3066"/>
  <c r="O22" i="3066"/>
  <c r="N22" i="3066"/>
  <c r="H22" i="3066"/>
  <c r="G22" i="3066"/>
  <c r="F22" i="3066"/>
  <c r="P21" i="3066"/>
  <c r="O21" i="3066"/>
  <c r="N21" i="3066"/>
  <c r="H21" i="3066"/>
  <c r="G21" i="3066"/>
  <c r="F21" i="3066"/>
  <c r="P20" i="3066"/>
  <c r="O20" i="3066"/>
  <c r="N20" i="3066"/>
  <c r="H20" i="3066"/>
  <c r="G20" i="3066"/>
  <c r="F20" i="3066"/>
  <c r="H19" i="3066"/>
  <c r="G19" i="3066"/>
  <c r="F19" i="3066"/>
  <c r="H18" i="3066"/>
  <c r="G18" i="3066"/>
  <c r="F18" i="3066"/>
  <c r="H17" i="3066"/>
  <c r="G17" i="3066"/>
  <c r="F17" i="3066"/>
  <c r="H16" i="3066"/>
  <c r="H23" i="3066" s="1"/>
  <c r="G16" i="3066"/>
  <c r="F16" i="3066"/>
  <c r="G9" i="3066"/>
  <c r="E29" i="3066" s="1"/>
  <c r="E9" i="3066"/>
  <c r="F44" i="3065"/>
  <c r="F43" i="3065"/>
  <c r="R38" i="3065"/>
  <c r="O30" i="3065"/>
  <c r="O29" i="3065"/>
  <c r="L23" i="3065"/>
  <c r="H44" i="3065" s="1"/>
  <c r="D23" i="3065"/>
  <c r="H43" i="3065" s="1"/>
  <c r="P22" i="3065"/>
  <c r="O22" i="3065"/>
  <c r="N22" i="3065"/>
  <c r="H22" i="3065"/>
  <c r="G22" i="3065"/>
  <c r="F22" i="3065"/>
  <c r="P21" i="3065"/>
  <c r="O21" i="3065"/>
  <c r="N21" i="3065"/>
  <c r="H21" i="3065"/>
  <c r="G21" i="3065"/>
  <c r="F21" i="3065"/>
  <c r="P20" i="3065"/>
  <c r="O20" i="3065"/>
  <c r="N20" i="3065"/>
  <c r="H20" i="3065"/>
  <c r="G20" i="3065"/>
  <c r="F20" i="3065"/>
  <c r="P19" i="3065"/>
  <c r="O19" i="3065"/>
  <c r="N19" i="3065"/>
  <c r="H19" i="3065"/>
  <c r="G19" i="3065"/>
  <c r="F19" i="3065"/>
  <c r="N18" i="3065"/>
  <c r="O18" i="3065" s="1"/>
  <c r="P18" i="3065" s="1"/>
  <c r="H18" i="3065"/>
  <c r="G18" i="3065"/>
  <c r="F18" i="3065"/>
  <c r="H17" i="3065"/>
  <c r="G17" i="3065"/>
  <c r="F17" i="3065"/>
  <c r="H16" i="3065"/>
  <c r="H23" i="3065" s="1"/>
  <c r="G16" i="3065"/>
  <c r="F16" i="3065"/>
  <c r="G9" i="3065"/>
  <c r="E29" i="3065" s="1"/>
  <c r="E9" i="3065"/>
  <c r="R38" i="3064"/>
  <c r="V38" i="3062"/>
  <c r="V38" i="3063"/>
  <c r="F44" i="3064"/>
  <c r="F43" i="3064"/>
  <c r="O30" i="3064"/>
  <c r="O29" i="3064"/>
  <c r="L23" i="3064"/>
  <c r="H44" i="3064" s="1"/>
  <c r="D23" i="3064"/>
  <c r="H43" i="3064" s="1"/>
  <c r="P22" i="3064"/>
  <c r="O22" i="3064"/>
  <c r="N22" i="3064"/>
  <c r="H22" i="3064"/>
  <c r="G22" i="3064"/>
  <c r="F22" i="3064"/>
  <c r="P21" i="3064"/>
  <c r="O21" i="3064"/>
  <c r="N21" i="3064"/>
  <c r="H21" i="3064"/>
  <c r="G21" i="3064"/>
  <c r="F21" i="3064"/>
  <c r="P20" i="3064"/>
  <c r="O20" i="3064"/>
  <c r="N20" i="3064"/>
  <c r="H20" i="3064"/>
  <c r="G20" i="3064"/>
  <c r="F20" i="3064"/>
  <c r="P19" i="3064"/>
  <c r="O19" i="3064"/>
  <c r="N19" i="3064"/>
  <c r="H19" i="3064"/>
  <c r="G19" i="3064"/>
  <c r="F19" i="3064"/>
  <c r="P18" i="3064"/>
  <c r="O18" i="3064"/>
  <c r="N18" i="3064"/>
  <c r="H18" i="3064"/>
  <c r="G18" i="3064"/>
  <c r="F18" i="3064"/>
  <c r="P17" i="3064"/>
  <c r="O17" i="3064"/>
  <c r="N17" i="3064"/>
  <c r="H17" i="3064"/>
  <c r="G17" i="3064"/>
  <c r="F17" i="3064"/>
  <c r="P16" i="3064"/>
  <c r="O16" i="3064"/>
  <c r="N16" i="3064"/>
  <c r="H16" i="3064"/>
  <c r="H23" i="3064" s="1"/>
  <c r="G16" i="3064"/>
  <c r="F16" i="3064"/>
  <c r="G9" i="3064"/>
  <c r="E29" i="3064" s="1"/>
  <c r="E9" i="3064"/>
  <c r="F44" i="3063"/>
  <c r="F43" i="3063"/>
  <c r="O30" i="3063"/>
  <c r="O29" i="3063"/>
  <c r="L23" i="3063"/>
  <c r="H44" i="3063" s="1"/>
  <c r="D23" i="3063"/>
  <c r="H43" i="3063" s="1"/>
  <c r="P22" i="3063"/>
  <c r="O22" i="3063"/>
  <c r="N22" i="3063"/>
  <c r="H22" i="3063"/>
  <c r="G22" i="3063"/>
  <c r="F22" i="3063"/>
  <c r="P21" i="3063"/>
  <c r="O21" i="3063"/>
  <c r="N21" i="3063"/>
  <c r="H21" i="3063"/>
  <c r="G21" i="3063"/>
  <c r="F21" i="3063"/>
  <c r="P20" i="3063"/>
  <c r="O20" i="3063"/>
  <c r="N20" i="3063"/>
  <c r="H20" i="3063"/>
  <c r="G20" i="3063"/>
  <c r="F20" i="3063"/>
  <c r="P19" i="3063"/>
  <c r="O19" i="3063"/>
  <c r="N19" i="3063"/>
  <c r="H19" i="3063"/>
  <c r="G19" i="3063"/>
  <c r="F19" i="3063"/>
  <c r="P18" i="3063"/>
  <c r="O18" i="3063"/>
  <c r="N18" i="3063"/>
  <c r="H18" i="3063"/>
  <c r="G18" i="3063"/>
  <c r="F18" i="3063"/>
  <c r="P17" i="3063"/>
  <c r="O17" i="3063"/>
  <c r="N17" i="3063"/>
  <c r="H17" i="3063"/>
  <c r="G17" i="3063"/>
  <c r="F17" i="3063"/>
  <c r="P16" i="3063"/>
  <c r="O16" i="3063"/>
  <c r="N16" i="3063"/>
  <c r="H16" i="3063"/>
  <c r="H23" i="3063" s="1"/>
  <c r="G16" i="3063"/>
  <c r="F16" i="3063"/>
  <c r="G9" i="3063"/>
  <c r="E29" i="3063" s="1"/>
  <c r="E9" i="3063"/>
  <c r="F44" i="3062"/>
  <c r="F43" i="3062"/>
  <c r="O30" i="3062"/>
  <c r="O29" i="3062"/>
  <c r="L23" i="3062"/>
  <c r="H44" i="3062" s="1"/>
  <c r="D23" i="3062"/>
  <c r="H43" i="3062" s="1"/>
  <c r="P22" i="3062"/>
  <c r="O22" i="3062"/>
  <c r="N22" i="3062"/>
  <c r="H22" i="3062"/>
  <c r="G22" i="3062"/>
  <c r="F22" i="3062"/>
  <c r="P21" i="3062"/>
  <c r="O21" i="3062"/>
  <c r="N21" i="3062"/>
  <c r="H21" i="3062"/>
  <c r="G21" i="3062"/>
  <c r="F21" i="3062"/>
  <c r="P20" i="3062"/>
  <c r="O20" i="3062"/>
  <c r="N20" i="3062"/>
  <c r="H20" i="3062"/>
  <c r="G20" i="3062"/>
  <c r="F20" i="3062"/>
  <c r="P19" i="3062"/>
  <c r="O19" i="3062"/>
  <c r="N19" i="3062"/>
  <c r="H19" i="3062"/>
  <c r="G19" i="3062"/>
  <c r="F19" i="3062"/>
  <c r="H18" i="3062"/>
  <c r="G18" i="3062"/>
  <c r="F18" i="3062"/>
  <c r="H17" i="3062"/>
  <c r="G17" i="3062"/>
  <c r="F17" i="3062"/>
  <c r="H16" i="3062"/>
  <c r="H23" i="3062" s="1"/>
  <c r="G16" i="3062"/>
  <c r="F16" i="3062"/>
  <c r="G9" i="3062"/>
  <c r="E29" i="3062" s="1"/>
  <c r="E9" i="3062"/>
  <c r="F44" i="3053"/>
  <c r="F43" i="3053"/>
  <c r="O30" i="3053"/>
  <c r="O29" i="3053"/>
  <c r="L23" i="3053"/>
  <c r="H44" i="3053" s="1"/>
  <c r="D23" i="3053"/>
  <c r="H43" i="3053" s="1"/>
  <c r="P22" i="3053"/>
  <c r="O22" i="3053"/>
  <c r="N22" i="3053"/>
  <c r="H22" i="3053"/>
  <c r="G22" i="3053"/>
  <c r="F22" i="3053"/>
  <c r="P21" i="3053"/>
  <c r="O21" i="3053"/>
  <c r="N21" i="3053"/>
  <c r="H21" i="3053"/>
  <c r="G21" i="3053"/>
  <c r="F21" i="3053"/>
  <c r="P20" i="3053"/>
  <c r="O20" i="3053"/>
  <c r="N20" i="3053"/>
  <c r="H20" i="3053"/>
  <c r="G20" i="3053"/>
  <c r="F20" i="3053"/>
  <c r="P19" i="3053"/>
  <c r="O19" i="3053"/>
  <c r="N19" i="3053"/>
  <c r="H19" i="3053"/>
  <c r="G19" i="3053"/>
  <c r="F19" i="3053"/>
  <c r="H18" i="3053"/>
  <c r="G18" i="3053"/>
  <c r="F18" i="3053"/>
  <c r="H17" i="3053"/>
  <c r="G17" i="3053"/>
  <c r="F17" i="3053"/>
  <c r="H16" i="3053"/>
  <c r="H23" i="3053" s="1"/>
  <c r="G16" i="3053"/>
  <c r="F16" i="3053"/>
  <c r="G9" i="3053"/>
  <c r="E29" i="3053" s="1"/>
  <c r="E9" i="3053"/>
  <c r="F44" i="3051"/>
  <c r="F43" i="3051"/>
  <c r="O30" i="3051"/>
  <c r="O29" i="3051"/>
  <c r="L23" i="3051"/>
  <c r="H44" i="3051" s="1"/>
  <c r="D23" i="3051"/>
  <c r="H43" i="3051" s="1"/>
  <c r="P22" i="3051"/>
  <c r="O22" i="3051"/>
  <c r="N22" i="3051"/>
  <c r="H22" i="3051"/>
  <c r="G22" i="3051"/>
  <c r="F22" i="3051"/>
  <c r="P21" i="3051"/>
  <c r="O21" i="3051"/>
  <c r="N21" i="3051"/>
  <c r="H21" i="3051"/>
  <c r="G21" i="3051"/>
  <c r="F21" i="3051"/>
  <c r="P20" i="3051"/>
  <c r="O20" i="3051"/>
  <c r="N20" i="3051"/>
  <c r="H20" i="3051"/>
  <c r="G20" i="3051"/>
  <c r="F20" i="3051"/>
  <c r="P19" i="3051"/>
  <c r="O19" i="3051"/>
  <c r="N19" i="3051"/>
  <c r="H19" i="3051"/>
  <c r="G19" i="3051"/>
  <c r="F19" i="3051"/>
  <c r="H18" i="3051"/>
  <c r="G18" i="3051"/>
  <c r="F18" i="3051"/>
  <c r="H17" i="3051"/>
  <c r="G17" i="3051"/>
  <c r="F17" i="3051"/>
  <c r="H16" i="3051"/>
  <c r="H23" i="3051" s="1"/>
  <c r="G16" i="3051"/>
  <c r="F16" i="3051"/>
  <c r="G9" i="3051"/>
  <c r="E29" i="3051" s="1"/>
  <c r="E9" i="3051"/>
  <c r="F44" i="3050"/>
  <c r="F43" i="3050"/>
  <c r="O30" i="3050"/>
  <c r="O29" i="3050"/>
  <c r="L23" i="3050"/>
  <c r="H44" i="3050" s="1"/>
  <c r="D23" i="3050"/>
  <c r="H43" i="3050" s="1"/>
  <c r="P22" i="3050"/>
  <c r="O22" i="3050"/>
  <c r="N22" i="3050"/>
  <c r="H22" i="3050"/>
  <c r="G22" i="3050"/>
  <c r="F22" i="3050"/>
  <c r="P21" i="3050"/>
  <c r="O21" i="3050"/>
  <c r="N21" i="3050"/>
  <c r="H21" i="3050"/>
  <c r="G21" i="3050"/>
  <c r="F21" i="3050"/>
  <c r="P20" i="3050"/>
  <c r="O20" i="3050"/>
  <c r="N20" i="3050"/>
  <c r="H20" i="3050"/>
  <c r="G20" i="3050"/>
  <c r="F20" i="3050"/>
  <c r="P19" i="3050"/>
  <c r="O19" i="3050"/>
  <c r="N19" i="3050"/>
  <c r="H19" i="3050"/>
  <c r="G19" i="3050"/>
  <c r="F19" i="3050"/>
  <c r="P18" i="3050"/>
  <c r="O18" i="3050"/>
  <c r="N18" i="3050"/>
  <c r="H18" i="3050"/>
  <c r="G18" i="3050"/>
  <c r="F18" i="3050"/>
  <c r="H17" i="3050"/>
  <c r="G17" i="3050"/>
  <c r="F17" i="3050"/>
  <c r="H16" i="3050"/>
  <c r="H23" i="3050" s="1"/>
  <c r="G16" i="3050"/>
  <c r="F16" i="3050"/>
  <c r="G9" i="3050"/>
  <c r="E29" i="3050" s="1"/>
  <c r="E9" i="3050"/>
  <c r="F44" i="3049"/>
  <c r="F43" i="3049"/>
  <c r="O30" i="3049"/>
  <c r="O29" i="3049"/>
  <c r="L23" i="3049"/>
  <c r="H44" i="3049" s="1"/>
  <c r="D23" i="3049"/>
  <c r="H43" i="3049" s="1"/>
  <c r="P22" i="3049"/>
  <c r="O22" i="3049"/>
  <c r="N22" i="3049"/>
  <c r="H22" i="3049"/>
  <c r="G22" i="3049"/>
  <c r="F22" i="3049"/>
  <c r="P21" i="3049"/>
  <c r="O21" i="3049"/>
  <c r="N21" i="3049"/>
  <c r="H21" i="3049"/>
  <c r="G21" i="3049"/>
  <c r="F21" i="3049"/>
  <c r="P20" i="3049"/>
  <c r="O20" i="3049"/>
  <c r="N20" i="3049"/>
  <c r="H20" i="3049"/>
  <c r="G20" i="3049"/>
  <c r="F20" i="3049"/>
  <c r="P19" i="3049"/>
  <c r="O19" i="3049"/>
  <c r="N19" i="3049"/>
  <c r="H19" i="3049"/>
  <c r="G19" i="3049"/>
  <c r="F19" i="3049"/>
  <c r="P18" i="3049"/>
  <c r="O18" i="3049"/>
  <c r="N18" i="3049"/>
  <c r="H18" i="3049"/>
  <c r="G18" i="3049"/>
  <c r="F18" i="3049"/>
  <c r="H17" i="3049"/>
  <c r="G17" i="3049"/>
  <c r="F17" i="3049"/>
  <c r="H16" i="3049"/>
  <c r="H23" i="3049" s="1"/>
  <c r="G16" i="3049"/>
  <c r="F16" i="3049"/>
  <c r="G9" i="3049"/>
  <c r="E29" i="3049" s="1"/>
  <c r="E9" i="3049"/>
  <c r="F44" i="3048"/>
  <c r="F43" i="3048"/>
  <c r="O30" i="3048"/>
  <c r="O29" i="3048"/>
  <c r="L23" i="3048"/>
  <c r="H44" i="3048" s="1"/>
  <c r="D23" i="3048"/>
  <c r="H43" i="3048" s="1"/>
  <c r="P22" i="3048"/>
  <c r="O22" i="3048"/>
  <c r="N22" i="3048"/>
  <c r="H22" i="3048"/>
  <c r="G22" i="3048"/>
  <c r="F22" i="3048"/>
  <c r="P21" i="3048"/>
  <c r="O21" i="3048"/>
  <c r="N21" i="3048"/>
  <c r="H21" i="3048"/>
  <c r="G21" i="3048"/>
  <c r="F21" i="3048"/>
  <c r="P20" i="3048"/>
  <c r="O20" i="3048"/>
  <c r="N20" i="3048"/>
  <c r="H20" i="3048"/>
  <c r="G20" i="3048"/>
  <c r="F20" i="3048"/>
  <c r="P19" i="3048"/>
  <c r="O19" i="3048"/>
  <c r="N19" i="3048"/>
  <c r="H19" i="3048"/>
  <c r="G19" i="3048"/>
  <c r="F19" i="3048"/>
  <c r="P18" i="3048"/>
  <c r="O18" i="3048"/>
  <c r="N18" i="3048"/>
  <c r="H18" i="3048"/>
  <c r="G18" i="3048"/>
  <c r="F18" i="3048"/>
  <c r="H17" i="3048"/>
  <c r="G17" i="3048"/>
  <c r="F17" i="3048"/>
  <c r="H16" i="3048"/>
  <c r="H23" i="3048" s="1"/>
  <c r="G16" i="3048"/>
  <c r="F16" i="3048"/>
  <c r="G9" i="3048"/>
  <c r="E29" i="3048" s="1"/>
  <c r="E9" i="3048"/>
  <c r="F44" i="3047"/>
  <c r="F43" i="3047"/>
  <c r="O30" i="3047"/>
  <c r="O29" i="3047"/>
  <c r="L23" i="3047"/>
  <c r="H44" i="3047" s="1"/>
  <c r="D23" i="3047"/>
  <c r="H43" i="3047" s="1"/>
  <c r="P22" i="3047"/>
  <c r="O22" i="3047"/>
  <c r="N22" i="3047"/>
  <c r="H22" i="3047"/>
  <c r="G22" i="3047"/>
  <c r="F22" i="3047"/>
  <c r="P21" i="3047"/>
  <c r="O21" i="3047"/>
  <c r="N21" i="3047"/>
  <c r="H21" i="3047"/>
  <c r="G21" i="3047"/>
  <c r="F21" i="3047"/>
  <c r="P20" i="3047"/>
  <c r="O20" i="3047"/>
  <c r="N20" i="3047"/>
  <c r="H20" i="3047"/>
  <c r="G20" i="3047"/>
  <c r="F20" i="3047"/>
  <c r="P19" i="3047"/>
  <c r="O19" i="3047"/>
  <c r="N19" i="3047"/>
  <c r="H19" i="3047"/>
  <c r="G19" i="3047"/>
  <c r="F19" i="3047"/>
  <c r="P18" i="3047"/>
  <c r="O18" i="3047"/>
  <c r="N18" i="3047"/>
  <c r="H18" i="3047"/>
  <c r="G18" i="3047"/>
  <c r="F18" i="3047"/>
  <c r="P17" i="3047"/>
  <c r="O17" i="3047"/>
  <c r="N17" i="3047"/>
  <c r="H17" i="3047"/>
  <c r="G17" i="3047"/>
  <c r="F17" i="3047"/>
  <c r="H16" i="3047"/>
  <c r="H23" i="3047" s="1"/>
  <c r="G16" i="3047"/>
  <c r="F16" i="3047"/>
  <c r="G9" i="3047"/>
  <c r="E29" i="3047" s="1"/>
  <c r="E9" i="3047"/>
  <c r="F44" i="3046"/>
  <c r="F43" i="3046"/>
  <c r="O30" i="3046"/>
  <c r="O29" i="3046"/>
  <c r="L23" i="3046"/>
  <c r="H44" i="3046" s="1"/>
  <c r="D23" i="3046"/>
  <c r="H43" i="3046" s="1"/>
  <c r="P22" i="3046"/>
  <c r="O22" i="3046"/>
  <c r="N22" i="3046"/>
  <c r="H22" i="3046"/>
  <c r="G22" i="3046"/>
  <c r="F22" i="3046"/>
  <c r="P21" i="3046"/>
  <c r="O21" i="3046"/>
  <c r="N21" i="3046"/>
  <c r="H21" i="3046"/>
  <c r="G21" i="3046"/>
  <c r="F21" i="3046"/>
  <c r="P20" i="3046"/>
  <c r="O20" i="3046"/>
  <c r="N20" i="3046"/>
  <c r="H20" i="3046"/>
  <c r="G20" i="3046"/>
  <c r="F20" i="3046"/>
  <c r="H19" i="3046"/>
  <c r="G19" i="3046"/>
  <c r="F19" i="3046"/>
  <c r="H18" i="3046"/>
  <c r="G18" i="3046"/>
  <c r="F18" i="3046"/>
  <c r="H17" i="3046"/>
  <c r="G17" i="3046"/>
  <c r="F17" i="3046"/>
  <c r="H16" i="3046"/>
  <c r="H23" i="3046" s="1"/>
  <c r="G16" i="3046"/>
  <c r="F16" i="3046"/>
  <c r="G9" i="3046"/>
  <c r="E29" i="3046" s="1"/>
  <c r="E9" i="3046"/>
  <c r="F44" i="3045"/>
  <c r="F43" i="3045"/>
  <c r="O30" i="3045"/>
  <c r="O29" i="3045"/>
  <c r="L23" i="3045"/>
  <c r="H44" i="3045" s="1"/>
  <c r="D23" i="3045"/>
  <c r="H43" i="3045" s="1"/>
  <c r="P22" i="3045"/>
  <c r="O22" i="3045"/>
  <c r="N22" i="3045"/>
  <c r="H22" i="3045"/>
  <c r="G22" i="3045"/>
  <c r="F22" i="3045"/>
  <c r="P21" i="3045"/>
  <c r="O21" i="3045"/>
  <c r="N21" i="3045"/>
  <c r="H21" i="3045"/>
  <c r="G21" i="3045"/>
  <c r="F21" i="3045"/>
  <c r="P20" i="3045"/>
  <c r="O20" i="3045"/>
  <c r="N20" i="3045"/>
  <c r="H20" i="3045"/>
  <c r="G20" i="3045"/>
  <c r="F20" i="3045"/>
  <c r="P19" i="3045"/>
  <c r="O19" i="3045"/>
  <c r="N19" i="3045"/>
  <c r="H19" i="3045"/>
  <c r="G19" i="3045"/>
  <c r="F19" i="3045"/>
  <c r="H18" i="3045"/>
  <c r="G18" i="3045"/>
  <c r="F18" i="3045"/>
  <c r="H17" i="3045"/>
  <c r="G17" i="3045"/>
  <c r="F17" i="3045"/>
  <c r="H16" i="3045"/>
  <c r="H23" i="3045" s="1"/>
  <c r="G16" i="3045"/>
  <c r="F16" i="3045"/>
  <c r="G9" i="3045"/>
  <c r="E29" i="3045" s="1"/>
  <c r="E9" i="3045"/>
  <c r="F44" i="3044"/>
  <c r="F43" i="3044"/>
  <c r="O30" i="3044"/>
  <c r="O29" i="3044"/>
  <c r="L23" i="3044"/>
  <c r="H44" i="3044" s="1"/>
  <c r="D23" i="3044"/>
  <c r="H43" i="3044" s="1"/>
  <c r="P22" i="3044"/>
  <c r="O22" i="3044"/>
  <c r="N22" i="3044"/>
  <c r="H22" i="3044"/>
  <c r="G22" i="3044"/>
  <c r="F22" i="3044"/>
  <c r="P21" i="3044"/>
  <c r="O21" i="3044"/>
  <c r="N21" i="3044"/>
  <c r="H21" i="3044"/>
  <c r="G21" i="3044"/>
  <c r="F21" i="3044"/>
  <c r="P20" i="3044"/>
  <c r="O20" i="3044"/>
  <c r="N20" i="3044"/>
  <c r="H20" i="3044"/>
  <c r="G20" i="3044"/>
  <c r="F20" i="3044"/>
  <c r="H19" i="3044"/>
  <c r="G19" i="3044"/>
  <c r="F19" i="3044"/>
  <c r="H18" i="3044"/>
  <c r="G18" i="3044"/>
  <c r="F18" i="3044"/>
  <c r="H17" i="3044"/>
  <c r="G17" i="3044"/>
  <c r="F17" i="3044"/>
  <c r="H16" i="3044"/>
  <c r="H23" i="3044" s="1"/>
  <c r="G16" i="3044"/>
  <c r="F16" i="3044"/>
  <c r="G9" i="3044"/>
  <c r="E29" i="3044" s="1"/>
  <c r="E9" i="3044"/>
  <c r="R38" i="3043"/>
  <c r="F44" i="3043"/>
  <c r="F43" i="3043"/>
  <c r="T38" i="3043"/>
  <c r="O30" i="3043"/>
  <c r="O29" i="3043"/>
  <c r="L23" i="3043"/>
  <c r="H44" i="3043" s="1"/>
  <c r="D23" i="3043"/>
  <c r="H43" i="3043" s="1"/>
  <c r="P22" i="3043"/>
  <c r="O22" i="3043"/>
  <c r="N22" i="3043"/>
  <c r="H22" i="3043"/>
  <c r="G22" i="3043"/>
  <c r="F22" i="3043"/>
  <c r="P21" i="3043"/>
  <c r="O21" i="3043"/>
  <c r="N21" i="3043"/>
  <c r="H21" i="3043"/>
  <c r="G21" i="3043"/>
  <c r="F21" i="3043"/>
  <c r="P20" i="3043"/>
  <c r="O20" i="3043"/>
  <c r="N20" i="3043"/>
  <c r="H20" i="3043"/>
  <c r="G20" i="3043"/>
  <c r="F20" i="3043"/>
  <c r="H19" i="3043"/>
  <c r="G19" i="3043"/>
  <c r="F19" i="3043"/>
  <c r="H18" i="3043"/>
  <c r="G18" i="3043"/>
  <c r="F18" i="3043"/>
  <c r="H17" i="3043"/>
  <c r="G17" i="3043"/>
  <c r="F17" i="3043"/>
  <c r="H16" i="3043"/>
  <c r="H23" i="3043" s="1"/>
  <c r="G16" i="3043"/>
  <c r="F16" i="3043"/>
  <c r="G9" i="3043"/>
  <c r="E29" i="3043" s="1"/>
  <c r="E9" i="3043"/>
  <c r="F44" i="3042"/>
  <c r="F43" i="3042"/>
  <c r="T38" i="3042"/>
  <c r="R38" i="3042"/>
  <c r="O30" i="3042"/>
  <c r="O29" i="3042"/>
  <c r="L23" i="3042"/>
  <c r="H44" i="3042" s="1"/>
  <c r="D23" i="3042"/>
  <c r="H43" i="3042" s="1"/>
  <c r="P22" i="3042"/>
  <c r="O22" i="3042"/>
  <c r="N22" i="3042"/>
  <c r="H22" i="3042"/>
  <c r="G22" i="3042"/>
  <c r="F22" i="3042"/>
  <c r="P21" i="3042"/>
  <c r="O21" i="3042"/>
  <c r="N21" i="3042"/>
  <c r="H21" i="3042"/>
  <c r="G21" i="3042"/>
  <c r="F21" i="3042"/>
  <c r="P20" i="3042"/>
  <c r="O20" i="3042"/>
  <c r="N20" i="3042"/>
  <c r="H20" i="3042"/>
  <c r="G20" i="3042"/>
  <c r="F20" i="3042"/>
  <c r="P19" i="3042"/>
  <c r="O19" i="3042"/>
  <c r="N19" i="3042"/>
  <c r="H19" i="3042"/>
  <c r="G19" i="3042"/>
  <c r="F19" i="3042"/>
  <c r="P18" i="3042"/>
  <c r="O18" i="3042"/>
  <c r="N18" i="3042"/>
  <c r="H18" i="3042"/>
  <c r="G18" i="3042"/>
  <c r="F18" i="3042"/>
  <c r="P17" i="3042"/>
  <c r="O17" i="3042"/>
  <c r="N17" i="3042"/>
  <c r="H17" i="3042"/>
  <c r="G17" i="3042"/>
  <c r="F17" i="3042"/>
  <c r="H16" i="3042"/>
  <c r="H23" i="3042" s="1"/>
  <c r="G16" i="3042"/>
  <c r="F16" i="3042"/>
  <c r="G9" i="3042"/>
  <c r="E29" i="3042" s="1"/>
  <c r="E9" i="3042"/>
  <c r="T38" i="3041"/>
  <c r="R38" i="3041"/>
  <c r="T38" i="3040"/>
  <c r="R38" i="3040"/>
  <c r="F44" i="3041"/>
  <c r="F43" i="3041"/>
  <c r="O30" i="3041"/>
  <c r="O29" i="3041"/>
  <c r="L23" i="3041"/>
  <c r="H44" i="3041" s="1"/>
  <c r="D23" i="3041"/>
  <c r="H43" i="3041" s="1"/>
  <c r="P22" i="3041"/>
  <c r="O22" i="3041"/>
  <c r="N22" i="3041"/>
  <c r="H22" i="3041"/>
  <c r="G22" i="3041"/>
  <c r="F22" i="3041"/>
  <c r="P21" i="3041"/>
  <c r="O21" i="3041"/>
  <c r="N21" i="3041"/>
  <c r="H21" i="3041"/>
  <c r="G21" i="3041"/>
  <c r="F21" i="3041"/>
  <c r="P20" i="3041"/>
  <c r="O20" i="3041"/>
  <c r="N20" i="3041"/>
  <c r="H20" i="3041"/>
  <c r="G20" i="3041"/>
  <c r="F20" i="3041"/>
  <c r="P19" i="3041"/>
  <c r="O19" i="3041"/>
  <c r="N19" i="3041"/>
  <c r="H19" i="3041"/>
  <c r="G19" i="3041"/>
  <c r="F19" i="3041"/>
  <c r="P18" i="3041"/>
  <c r="O18" i="3041"/>
  <c r="N18" i="3041"/>
  <c r="H18" i="3041"/>
  <c r="G18" i="3041"/>
  <c r="F18" i="3041"/>
  <c r="P17" i="3041"/>
  <c r="O17" i="3041"/>
  <c r="N17" i="3041"/>
  <c r="H17" i="3041"/>
  <c r="G17" i="3041"/>
  <c r="F17" i="3041"/>
  <c r="H16" i="3041"/>
  <c r="H23" i="3041" s="1"/>
  <c r="G16" i="3041"/>
  <c r="F16" i="3041"/>
  <c r="G9" i="3041"/>
  <c r="E29" i="3041" s="1"/>
  <c r="E9" i="3041"/>
  <c r="F44" i="3040"/>
  <c r="F43" i="3040"/>
  <c r="O30" i="3040"/>
  <c r="O29" i="3040"/>
  <c r="L23" i="3040"/>
  <c r="H44" i="3040" s="1"/>
  <c r="D23" i="3040"/>
  <c r="H43" i="3040" s="1"/>
  <c r="P22" i="3040"/>
  <c r="O22" i="3040"/>
  <c r="N22" i="3040"/>
  <c r="H22" i="3040"/>
  <c r="G22" i="3040"/>
  <c r="F22" i="3040"/>
  <c r="P21" i="3040"/>
  <c r="O21" i="3040"/>
  <c r="N21" i="3040"/>
  <c r="H21" i="3040"/>
  <c r="G21" i="3040"/>
  <c r="F21" i="3040"/>
  <c r="P20" i="3040"/>
  <c r="O20" i="3040"/>
  <c r="N20" i="3040"/>
  <c r="H20" i="3040"/>
  <c r="G20" i="3040"/>
  <c r="F20" i="3040"/>
  <c r="P19" i="3040"/>
  <c r="O19" i="3040"/>
  <c r="N19" i="3040"/>
  <c r="H19" i="3040"/>
  <c r="G19" i="3040"/>
  <c r="F19" i="3040"/>
  <c r="P18" i="3040"/>
  <c r="O18" i="3040"/>
  <c r="N18" i="3040"/>
  <c r="H18" i="3040"/>
  <c r="G18" i="3040"/>
  <c r="F18" i="3040"/>
  <c r="H17" i="3040"/>
  <c r="G17" i="3040"/>
  <c r="F17" i="3040"/>
  <c r="H16" i="3040"/>
  <c r="H23" i="3040" s="1"/>
  <c r="G16" i="3040"/>
  <c r="F16" i="3040"/>
  <c r="G9" i="3040"/>
  <c r="E29" i="3040" s="1"/>
  <c r="E9" i="3040"/>
  <c r="T38" i="3039"/>
  <c r="F44" i="3039"/>
  <c r="F43" i="3039"/>
  <c r="V38" i="3039"/>
  <c r="R38" i="3039"/>
  <c r="O30" i="3039"/>
  <c r="O29" i="3039"/>
  <c r="L23" i="3039"/>
  <c r="H44" i="3039" s="1"/>
  <c r="D23" i="3039"/>
  <c r="H43" i="3039" s="1"/>
  <c r="P22" i="3039"/>
  <c r="O22" i="3039"/>
  <c r="N22" i="3039"/>
  <c r="H22" i="3039"/>
  <c r="G22" i="3039"/>
  <c r="F22" i="3039"/>
  <c r="P21" i="3039"/>
  <c r="O21" i="3039"/>
  <c r="N21" i="3039"/>
  <c r="H21" i="3039"/>
  <c r="G21" i="3039"/>
  <c r="F21" i="3039"/>
  <c r="P20" i="3039"/>
  <c r="O20" i="3039"/>
  <c r="N20" i="3039"/>
  <c r="H20" i="3039"/>
  <c r="G20" i="3039"/>
  <c r="F20" i="3039"/>
  <c r="P19" i="3039"/>
  <c r="O19" i="3039"/>
  <c r="N19" i="3039"/>
  <c r="H19" i="3039"/>
  <c r="G19" i="3039"/>
  <c r="F19" i="3039"/>
  <c r="P18" i="3039"/>
  <c r="O18" i="3039"/>
  <c r="N18" i="3039"/>
  <c r="H18" i="3039"/>
  <c r="G18" i="3039"/>
  <c r="F18" i="3039"/>
  <c r="H17" i="3039"/>
  <c r="G17" i="3039"/>
  <c r="F17" i="3039"/>
  <c r="H16" i="3039"/>
  <c r="H23" i="3039" s="1"/>
  <c r="G16" i="3039"/>
  <c r="F16" i="3039"/>
  <c r="G9" i="3039"/>
  <c r="E29" i="3039" s="1"/>
  <c r="E9" i="3039"/>
  <c r="F44" i="3038"/>
  <c r="F43" i="3038"/>
  <c r="V38" i="3038"/>
  <c r="R38" i="3038"/>
  <c r="O30" i="3038"/>
  <c r="O29" i="3038"/>
  <c r="L23" i="3038"/>
  <c r="H44" i="3038" s="1"/>
  <c r="D23" i="3038"/>
  <c r="H43" i="3038" s="1"/>
  <c r="P22" i="3038"/>
  <c r="O22" i="3038"/>
  <c r="N22" i="3038"/>
  <c r="H22" i="3038"/>
  <c r="G22" i="3038"/>
  <c r="F22" i="3038"/>
  <c r="P21" i="3038"/>
  <c r="O21" i="3038"/>
  <c r="N21" i="3038"/>
  <c r="H21" i="3038"/>
  <c r="G21" i="3038"/>
  <c r="F21" i="3038"/>
  <c r="P20" i="3038"/>
  <c r="O20" i="3038"/>
  <c r="N20" i="3038"/>
  <c r="H20" i="3038"/>
  <c r="G20" i="3038"/>
  <c r="F20" i="3038"/>
  <c r="P19" i="3038"/>
  <c r="O19" i="3038"/>
  <c r="N19" i="3038"/>
  <c r="H19" i="3038"/>
  <c r="G19" i="3038"/>
  <c r="F19" i="3038"/>
  <c r="P18" i="3038"/>
  <c r="O18" i="3038"/>
  <c r="N18" i="3038"/>
  <c r="H18" i="3038"/>
  <c r="G18" i="3038"/>
  <c r="F18" i="3038"/>
  <c r="P17" i="3038"/>
  <c r="O17" i="3038"/>
  <c r="N17" i="3038"/>
  <c r="H17" i="3038"/>
  <c r="G17" i="3038"/>
  <c r="F17" i="3038"/>
  <c r="P16" i="3038"/>
  <c r="P23" i="3038" s="1"/>
  <c r="O16" i="3038"/>
  <c r="N16" i="3038"/>
  <c r="H16" i="3038"/>
  <c r="H23" i="3038" s="1"/>
  <c r="G16" i="3038"/>
  <c r="F16" i="3038"/>
  <c r="G9" i="3038"/>
  <c r="E29" i="3038" s="1"/>
  <c r="E9" i="3038"/>
  <c r="F44" i="3037"/>
  <c r="F43" i="3037"/>
  <c r="V38" i="3037"/>
  <c r="R38" i="3037"/>
  <c r="O30" i="3037"/>
  <c r="O29" i="3037"/>
  <c r="L23" i="3037"/>
  <c r="H44" i="3037" s="1"/>
  <c r="D23" i="3037"/>
  <c r="H43" i="3037" s="1"/>
  <c r="P22" i="3037"/>
  <c r="O22" i="3037"/>
  <c r="N22" i="3037"/>
  <c r="H22" i="3037"/>
  <c r="G22" i="3037"/>
  <c r="F22" i="3037"/>
  <c r="P21" i="3037"/>
  <c r="O21" i="3037"/>
  <c r="N21" i="3037"/>
  <c r="H21" i="3037"/>
  <c r="G21" i="3037"/>
  <c r="F21" i="3037"/>
  <c r="P20" i="3037"/>
  <c r="O20" i="3037"/>
  <c r="N20" i="3037"/>
  <c r="H20" i="3037"/>
  <c r="G20" i="3037"/>
  <c r="F20" i="3037"/>
  <c r="P19" i="3037"/>
  <c r="O19" i="3037"/>
  <c r="N19" i="3037"/>
  <c r="H19" i="3037"/>
  <c r="G19" i="3037"/>
  <c r="F19" i="3037"/>
  <c r="P18" i="3037"/>
  <c r="O18" i="3037"/>
  <c r="N18" i="3037"/>
  <c r="H18" i="3037"/>
  <c r="G18" i="3037"/>
  <c r="F18" i="3037"/>
  <c r="P17" i="3037"/>
  <c r="O17" i="3037"/>
  <c r="N17" i="3037"/>
  <c r="H17" i="3037"/>
  <c r="G17" i="3037"/>
  <c r="F17" i="3037"/>
  <c r="P16" i="3037"/>
  <c r="O16" i="3037"/>
  <c r="N16" i="3037"/>
  <c r="H16" i="3037"/>
  <c r="H23" i="3037" s="1"/>
  <c r="G16" i="3037"/>
  <c r="F16" i="3037"/>
  <c r="G9" i="3037"/>
  <c r="E29" i="3037" s="1"/>
  <c r="E9" i="3037"/>
  <c r="V38" i="3034"/>
  <c r="V38" i="3033"/>
  <c r="V38" i="3032"/>
  <c r="V38" i="3031"/>
  <c r="V38" i="3030"/>
  <c r="V38" i="3029"/>
  <c r="V38" i="3028"/>
  <c r="V38" i="3027"/>
  <c r="V38" i="3026"/>
  <c r="R38" i="3034"/>
  <c r="F44" i="3034"/>
  <c r="F43" i="3034"/>
  <c r="O30" i="3034"/>
  <c r="O29" i="3034"/>
  <c r="L23" i="3034"/>
  <c r="H44" i="3034" s="1"/>
  <c r="D23" i="3034"/>
  <c r="H43" i="3034" s="1"/>
  <c r="P22" i="3034"/>
  <c r="O22" i="3034"/>
  <c r="N22" i="3034"/>
  <c r="H22" i="3034"/>
  <c r="G22" i="3034"/>
  <c r="F22" i="3034"/>
  <c r="P21" i="3034"/>
  <c r="O21" i="3034"/>
  <c r="N21" i="3034"/>
  <c r="H21" i="3034"/>
  <c r="G21" i="3034"/>
  <c r="F21" i="3034"/>
  <c r="P20" i="3034"/>
  <c r="O20" i="3034"/>
  <c r="N20" i="3034"/>
  <c r="H20" i="3034"/>
  <c r="G20" i="3034"/>
  <c r="F20" i="3034"/>
  <c r="P19" i="3034"/>
  <c r="O19" i="3034"/>
  <c r="N19" i="3034"/>
  <c r="H19" i="3034"/>
  <c r="G19" i="3034"/>
  <c r="F19" i="3034"/>
  <c r="P18" i="3034"/>
  <c r="O18" i="3034"/>
  <c r="N18" i="3034"/>
  <c r="H18" i="3034"/>
  <c r="G18" i="3034"/>
  <c r="F18" i="3034"/>
  <c r="P17" i="3034"/>
  <c r="O17" i="3034"/>
  <c r="N17" i="3034"/>
  <c r="H17" i="3034"/>
  <c r="G17" i="3034"/>
  <c r="F17" i="3034"/>
  <c r="P16" i="3034"/>
  <c r="P23" i="3034" s="1"/>
  <c r="O16" i="3034"/>
  <c r="N16" i="3034"/>
  <c r="H16" i="3034"/>
  <c r="H23" i="3034" s="1"/>
  <c r="G16" i="3034"/>
  <c r="F16" i="3034"/>
  <c r="G9" i="3034"/>
  <c r="E29" i="3034" s="1"/>
  <c r="E9" i="3034"/>
  <c r="R38" i="3033"/>
  <c r="F44" i="3033"/>
  <c r="F43" i="3033"/>
  <c r="O30" i="3033"/>
  <c r="O29" i="3033"/>
  <c r="L23" i="3033"/>
  <c r="H44" i="3033" s="1"/>
  <c r="D23" i="3033"/>
  <c r="H43" i="3033" s="1"/>
  <c r="P22" i="3033"/>
  <c r="O22" i="3033"/>
  <c r="N22" i="3033"/>
  <c r="H22" i="3033"/>
  <c r="G22" i="3033"/>
  <c r="F22" i="3033"/>
  <c r="P21" i="3033"/>
  <c r="O21" i="3033"/>
  <c r="N21" i="3033"/>
  <c r="H21" i="3033"/>
  <c r="G21" i="3033"/>
  <c r="F21" i="3033"/>
  <c r="P20" i="3033"/>
  <c r="O20" i="3033"/>
  <c r="N20" i="3033"/>
  <c r="H20" i="3033"/>
  <c r="G20" i="3033"/>
  <c r="F20" i="3033"/>
  <c r="P19" i="3033"/>
  <c r="O19" i="3033"/>
  <c r="N19" i="3033"/>
  <c r="H19" i="3033"/>
  <c r="G19" i="3033"/>
  <c r="F19" i="3033"/>
  <c r="P18" i="3033"/>
  <c r="O18" i="3033"/>
  <c r="N18" i="3033"/>
  <c r="H18" i="3033"/>
  <c r="G18" i="3033"/>
  <c r="F18" i="3033"/>
  <c r="P17" i="3033"/>
  <c r="O17" i="3033"/>
  <c r="N17" i="3033"/>
  <c r="H17" i="3033"/>
  <c r="G17" i="3033"/>
  <c r="F17" i="3033"/>
  <c r="H16" i="3033"/>
  <c r="H23" i="3033" s="1"/>
  <c r="G16" i="3033"/>
  <c r="F16" i="3033"/>
  <c r="G9" i="3033"/>
  <c r="E29" i="3033" s="1"/>
  <c r="E9" i="3033"/>
  <c r="R38" i="3031"/>
  <c r="F44" i="3032"/>
  <c r="F43" i="3032"/>
  <c r="R38" i="3032"/>
  <c r="O30" i="3032"/>
  <c r="O29" i="3032"/>
  <c r="L23" i="3032"/>
  <c r="H44" i="3032" s="1"/>
  <c r="D23" i="3032"/>
  <c r="H43" i="3032" s="1"/>
  <c r="P22" i="3032"/>
  <c r="O22" i="3032"/>
  <c r="N22" i="3032"/>
  <c r="H22" i="3032"/>
  <c r="G22" i="3032"/>
  <c r="F22" i="3032"/>
  <c r="P21" i="3032"/>
  <c r="O21" i="3032"/>
  <c r="N21" i="3032"/>
  <c r="H21" i="3032"/>
  <c r="G21" i="3032"/>
  <c r="F21" i="3032"/>
  <c r="P20" i="3032"/>
  <c r="O20" i="3032"/>
  <c r="N20" i="3032"/>
  <c r="H20" i="3032"/>
  <c r="G20" i="3032"/>
  <c r="F20" i="3032"/>
  <c r="P19" i="3032"/>
  <c r="O19" i="3032"/>
  <c r="N19" i="3032"/>
  <c r="H19" i="3032"/>
  <c r="G19" i="3032"/>
  <c r="F19" i="3032"/>
  <c r="P18" i="3032"/>
  <c r="O18" i="3032"/>
  <c r="N18" i="3032"/>
  <c r="H18" i="3032"/>
  <c r="G18" i="3032"/>
  <c r="F18" i="3032"/>
  <c r="H17" i="3032"/>
  <c r="G17" i="3032"/>
  <c r="F17" i="3032"/>
  <c r="H16" i="3032"/>
  <c r="H23" i="3032" s="1"/>
  <c r="G16" i="3032"/>
  <c r="F16" i="3032"/>
  <c r="G9" i="3032"/>
  <c r="E29" i="3032" s="1"/>
  <c r="E9" i="3032"/>
  <c r="F44" i="3031"/>
  <c r="F43" i="3031"/>
  <c r="O30" i="3031"/>
  <c r="O29" i="3031"/>
  <c r="L23" i="3031"/>
  <c r="H44" i="3031" s="1"/>
  <c r="D23" i="3031"/>
  <c r="H43" i="3031" s="1"/>
  <c r="P22" i="3031"/>
  <c r="O22" i="3031"/>
  <c r="N22" i="3031"/>
  <c r="H22" i="3031"/>
  <c r="G22" i="3031"/>
  <c r="F22" i="3031"/>
  <c r="P21" i="3031"/>
  <c r="O21" i="3031"/>
  <c r="N21" i="3031"/>
  <c r="H21" i="3031"/>
  <c r="G21" i="3031"/>
  <c r="F21" i="3031"/>
  <c r="P20" i="3031"/>
  <c r="O20" i="3031"/>
  <c r="N20" i="3031"/>
  <c r="H20" i="3031"/>
  <c r="G20" i="3031"/>
  <c r="F20" i="3031"/>
  <c r="P19" i="3031"/>
  <c r="O19" i="3031"/>
  <c r="N19" i="3031"/>
  <c r="H19" i="3031"/>
  <c r="G19" i="3031"/>
  <c r="F19" i="3031"/>
  <c r="P18" i="3031"/>
  <c r="O18" i="3031"/>
  <c r="N18" i="3031"/>
  <c r="H18" i="3031"/>
  <c r="G18" i="3031"/>
  <c r="F18" i="3031"/>
  <c r="H17" i="3031"/>
  <c r="G17" i="3031"/>
  <c r="F17" i="3031"/>
  <c r="H16" i="3031"/>
  <c r="H23" i="3031" s="1"/>
  <c r="G16" i="3031"/>
  <c r="F16" i="3031"/>
  <c r="G9" i="3031"/>
  <c r="E29" i="3031" s="1"/>
  <c r="E9" i="3031"/>
  <c r="F44" i="3030"/>
  <c r="F43" i="3030"/>
  <c r="O30" i="3030"/>
  <c r="O29" i="3030"/>
  <c r="L23" i="3030"/>
  <c r="H44" i="3030" s="1"/>
  <c r="D23" i="3030"/>
  <c r="H43" i="3030" s="1"/>
  <c r="P22" i="3030"/>
  <c r="O22" i="3030"/>
  <c r="N22" i="3030"/>
  <c r="H22" i="3030"/>
  <c r="G22" i="3030"/>
  <c r="F22" i="3030"/>
  <c r="P21" i="3030"/>
  <c r="O21" i="3030"/>
  <c r="N21" i="3030"/>
  <c r="H21" i="3030"/>
  <c r="G21" i="3030"/>
  <c r="F21" i="3030"/>
  <c r="P20" i="3030"/>
  <c r="O20" i="3030"/>
  <c r="N20" i="3030"/>
  <c r="H20" i="3030"/>
  <c r="G20" i="3030"/>
  <c r="F20" i="3030"/>
  <c r="P19" i="3030"/>
  <c r="O19" i="3030"/>
  <c r="N19" i="3030"/>
  <c r="H19" i="3030"/>
  <c r="G19" i="3030"/>
  <c r="F19" i="3030"/>
  <c r="P18" i="3030"/>
  <c r="O18" i="3030"/>
  <c r="N18" i="3030"/>
  <c r="H18" i="3030"/>
  <c r="G18" i="3030"/>
  <c r="F18" i="3030"/>
  <c r="H17" i="3030"/>
  <c r="G17" i="3030"/>
  <c r="F17" i="3030"/>
  <c r="H16" i="3030"/>
  <c r="H23" i="3030" s="1"/>
  <c r="G16" i="3030"/>
  <c r="F16" i="3030"/>
  <c r="G9" i="3030"/>
  <c r="E29" i="3030" s="1"/>
  <c r="E9" i="3030"/>
  <c r="F44" i="3029"/>
  <c r="F43" i="3029"/>
  <c r="O30" i="3029"/>
  <c r="O29" i="3029"/>
  <c r="L23" i="3029"/>
  <c r="H44" i="3029" s="1"/>
  <c r="D23" i="3029"/>
  <c r="H43" i="3029" s="1"/>
  <c r="P22" i="3029"/>
  <c r="O22" i="3029"/>
  <c r="N22" i="3029"/>
  <c r="H22" i="3029"/>
  <c r="G22" i="3029"/>
  <c r="F22" i="3029"/>
  <c r="P21" i="3029"/>
  <c r="O21" i="3029"/>
  <c r="N21" i="3029"/>
  <c r="H21" i="3029"/>
  <c r="G21" i="3029"/>
  <c r="F21" i="3029"/>
  <c r="P20" i="3029"/>
  <c r="O20" i="3029"/>
  <c r="N20" i="3029"/>
  <c r="H20" i="3029"/>
  <c r="G20" i="3029"/>
  <c r="F20" i="3029"/>
  <c r="P19" i="3029"/>
  <c r="O19" i="3029"/>
  <c r="N19" i="3029"/>
  <c r="H19" i="3029"/>
  <c r="G19" i="3029"/>
  <c r="F19" i="3029"/>
  <c r="P18" i="3029"/>
  <c r="O18" i="3029"/>
  <c r="N18" i="3029"/>
  <c r="H18" i="3029"/>
  <c r="G18" i="3029"/>
  <c r="F18" i="3029"/>
  <c r="P17" i="3029"/>
  <c r="O17" i="3029"/>
  <c r="N17" i="3029"/>
  <c r="H17" i="3029"/>
  <c r="G17" i="3029"/>
  <c r="F17" i="3029"/>
  <c r="H16" i="3029"/>
  <c r="H23" i="3029" s="1"/>
  <c r="G16" i="3029"/>
  <c r="F16" i="3029"/>
  <c r="G9" i="3029"/>
  <c r="E29" i="3029" s="1"/>
  <c r="E9" i="3029"/>
  <c r="F44" i="3028"/>
  <c r="F43" i="3028"/>
  <c r="O30" i="3028"/>
  <c r="O29" i="3028"/>
  <c r="L23" i="3028"/>
  <c r="H44" i="3028" s="1"/>
  <c r="D23" i="3028"/>
  <c r="H43" i="3028" s="1"/>
  <c r="P22" i="3028"/>
  <c r="O22" i="3028"/>
  <c r="N22" i="3028"/>
  <c r="H22" i="3028"/>
  <c r="G22" i="3028"/>
  <c r="F22" i="3028"/>
  <c r="P21" i="3028"/>
  <c r="O21" i="3028"/>
  <c r="N21" i="3028"/>
  <c r="H21" i="3028"/>
  <c r="G21" i="3028"/>
  <c r="F21" i="3028"/>
  <c r="P20" i="3028"/>
  <c r="O20" i="3028"/>
  <c r="N20" i="3028"/>
  <c r="H20" i="3028"/>
  <c r="G20" i="3028"/>
  <c r="F20" i="3028"/>
  <c r="P19" i="3028"/>
  <c r="O19" i="3028"/>
  <c r="N19" i="3028"/>
  <c r="H19" i="3028"/>
  <c r="G19" i="3028"/>
  <c r="F19" i="3028"/>
  <c r="P18" i="3028"/>
  <c r="O18" i="3028"/>
  <c r="N18" i="3028"/>
  <c r="H18" i="3028"/>
  <c r="G18" i="3028"/>
  <c r="F18" i="3028"/>
  <c r="P17" i="3028"/>
  <c r="O17" i="3028"/>
  <c r="N17" i="3028"/>
  <c r="H17" i="3028"/>
  <c r="G17" i="3028"/>
  <c r="F17" i="3028"/>
  <c r="H16" i="3028"/>
  <c r="H23" i="3028" s="1"/>
  <c r="G16" i="3028"/>
  <c r="F16" i="3028"/>
  <c r="G9" i="3028"/>
  <c r="E29" i="3028" s="1"/>
  <c r="E9" i="3028"/>
  <c r="F44" i="3027"/>
  <c r="F43" i="3027"/>
  <c r="O30" i="3027"/>
  <c r="O29" i="3027"/>
  <c r="L23" i="3027"/>
  <c r="H44" i="3027" s="1"/>
  <c r="D23" i="3027"/>
  <c r="H43" i="3027" s="1"/>
  <c r="P22" i="3027"/>
  <c r="O22" i="3027"/>
  <c r="N22" i="3027"/>
  <c r="H22" i="3027"/>
  <c r="G22" i="3027"/>
  <c r="F22" i="3027"/>
  <c r="P21" i="3027"/>
  <c r="O21" i="3027"/>
  <c r="N21" i="3027"/>
  <c r="H21" i="3027"/>
  <c r="G21" i="3027"/>
  <c r="F21" i="3027"/>
  <c r="P20" i="3027"/>
  <c r="O20" i="3027"/>
  <c r="N20" i="3027"/>
  <c r="H20" i="3027"/>
  <c r="G20" i="3027"/>
  <c r="F20" i="3027"/>
  <c r="P19" i="3027"/>
  <c r="O19" i="3027"/>
  <c r="N19" i="3027"/>
  <c r="H19" i="3027"/>
  <c r="G19" i="3027"/>
  <c r="F19" i="3027"/>
  <c r="P18" i="3027"/>
  <c r="O18" i="3027"/>
  <c r="N18" i="3027"/>
  <c r="H18" i="3027"/>
  <c r="G18" i="3027"/>
  <c r="F18" i="3027"/>
  <c r="P17" i="3027"/>
  <c r="O17" i="3027"/>
  <c r="N17" i="3027"/>
  <c r="H17" i="3027"/>
  <c r="G17" i="3027"/>
  <c r="F17" i="3027"/>
  <c r="P16" i="3027"/>
  <c r="P23" i="3027" s="1"/>
  <c r="O16" i="3027"/>
  <c r="N16" i="3027"/>
  <c r="H16" i="3027"/>
  <c r="H23" i="3027" s="1"/>
  <c r="G16" i="3027"/>
  <c r="F16" i="3027"/>
  <c r="G9" i="3027"/>
  <c r="E29" i="3027" s="1"/>
  <c r="E9" i="3027"/>
  <c r="F44" i="3026"/>
  <c r="F43" i="3026"/>
  <c r="O30" i="3026"/>
  <c r="O29" i="3026"/>
  <c r="L23" i="3026"/>
  <c r="H44" i="3026" s="1"/>
  <c r="D23" i="3026"/>
  <c r="H43" i="3026" s="1"/>
  <c r="P22" i="3026"/>
  <c r="O22" i="3026"/>
  <c r="N22" i="3026"/>
  <c r="H22" i="3026"/>
  <c r="G22" i="3026"/>
  <c r="F22" i="3026"/>
  <c r="P21" i="3026"/>
  <c r="O21" i="3026"/>
  <c r="N21" i="3026"/>
  <c r="H21" i="3026"/>
  <c r="G21" i="3026"/>
  <c r="F21" i="3026"/>
  <c r="P20" i="3026"/>
  <c r="O20" i="3026"/>
  <c r="N20" i="3026"/>
  <c r="H20" i="3026"/>
  <c r="G20" i="3026"/>
  <c r="F20" i="3026"/>
  <c r="P19" i="3026"/>
  <c r="O19" i="3026"/>
  <c r="N19" i="3026"/>
  <c r="H19" i="3026"/>
  <c r="G19" i="3026"/>
  <c r="F19" i="3026"/>
  <c r="P18" i="3026"/>
  <c r="O18" i="3026"/>
  <c r="N18" i="3026"/>
  <c r="H18" i="3026"/>
  <c r="G18" i="3026"/>
  <c r="F18" i="3026"/>
  <c r="P17" i="3026"/>
  <c r="O17" i="3026"/>
  <c r="N17" i="3026"/>
  <c r="H17" i="3026"/>
  <c r="G17" i="3026"/>
  <c r="F17" i="3026"/>
  <c r="P16" i="3026"/>
  <c r="P23" i="3026" s="1"/>
  <c r="O16" i="3026"/>
  <c r="N16" i="3026"/>
  <c r="H16" i="3026"/>
  <c r="H23" i="3026" s="1"/>
  <c r="G16" i="3026"/>
  <c r="F16" i="3026"/>
  <c r="G9" i="3026"/>
  <c r="E29" i="3026" s="1"/>
  <c r="E9" i="3026"/>
  <c r="F43" i="3025"/>
  <c r="O29" i="3025"/>
  <c r="L23" i="3025"/>
  <c r="H44" i="3025" s="1"/>
  <c r="D23" i="3025"/>
  <c r="H43" i="3025" s="1"/>
  <c r="P22" i="3025"/>
  <c r="O22" i="3025"/>
  <c r="N22" i="3025"/>
  <c r="H22" i="3025"/>
  <c r="G22" i="3025"/>
  <c r="F22" i="3025"/>
  <c r="P21" i="3025"/>
  <c r="O21" i="3025"/>
  <c r="N21" i="3025"/>
  <c r="H21" i="3025"/>
  <c r="G21" i="3025"/>
  <c r="F21" i="3025"/>
  <c r="P20" i="3025"/>
  <c r="O20" i="3025"/>
  <c r="N20" i="3025"/>
  <c r="H20" i="3025"/>
  <c r="G20" i="3025"/>
  <c r="F20" i="3025"/>
  <c r="P19" i="3025"/>
  <c r="O19" i="3025"/>
  <c r="N19" i="3025"/>
  <c r="H19" i="3025"/>
  <c r="G19" i="3025"/>
  <c r="F19" i="3025"/>
  <c r="P18" i="3025"/>
  <c r="O18" i="3025"/>
  <c r="N18" i="3025"/>
  <c r="H18" i="3025"/>
  <c r="G18" i="3025"/>
  <c r="F18" i="3025"/>
  <c r="P17" i="3025"/>
  <c r="O17" i="3025"/>
  <c r="N17" i="3025"/>
  <c r="H17" i="3025"/>
  <c r="G17" i="3025"/>
  <c r="F17" i="3025"/>
  <c r="P16" i="3025"/>
  <c r="O16" i="3025"/>
  <c r="N16" i="3025"/>
  <c r="H16" i="3025"/>
  <c r="H23" i="3025" s="1"/>
  <c r="G16" i="3025"/>
  <c r="F16" i="3025"/>
  <c r="G9" i="3025"/>
  <c r="E29" i="3025" s="1"/>
  <c r="E9" i="3025"/>
  <c r="K30" i="3024"/>
  <c r="F44" i="3024"/>
  <c r="F43" i="3024"/>
  <c r="O30" i="3024"/>
  <c r="O29" i="3024"/>
  <c r="L23" i="3024"/>
  <c r="H44" i="3024" s="1"/>
  <c r="D23" i="3024"/>
  <c r="H43" i="3024" s="1"/>
  <c r="P22" i="3024"/>
  <c r="O22" i="3024"/>
  <c r="N22" i="3024"/>
  <c r="H22" i="3024"/>
  <c r="G22" i="3024"/>
  <c r="F22" i="3024"/>
  <c r="P21" i="3024"/>
  <c r="O21" i="3024"/>
  <c r="N21" i="3024"/>
  <c r="H21" i="3024"/>
  <c r="G21" i="3024"/>
  <c r="F21" i="3024"/>
  <c r="P20" i="3024"/>
  <c r="O20" i="3024"/>
  <c r="N20" i="3024"/>
  <c r="H20" i="3024"/>
  <c r="G20" i="3024"/>
  <c r="F20" i="3024"/>
  <c r="P19" i="3024"/>
  <c r="O19" i="3024"/>
  <c r="N19" i="3024"/>
  <c r="H19" i="3024"/>
  <c r="G19" i="3024"/>
  <c r="F19" i="3024"/>
  <c r="P18" i="3024"/>
  <c r="O18" i="3024"/>
  <c r="N18" i="3024"/>
  <c r="H18" i="3024"/>
  <c r="G18" i="3024"/>
  <c r="F18" i="3024"/>
  <c r="P17" i="3024"/>
  <c r="O17" i="3024"/>
  <c r="N17" i="3024"/>
  <c r="H17" i="3024"/>
  <c r="G17" i="3024"/>
  <c r="F17" i="3024"/>
  <c r="H16" i="3024"/>
  <c r="H23" i="3024" s="1"/>
  <c r="G16" i="3024"/>
  <c r="F16" i="3024"/>
  <c r="G9" i="3024"/>
  <c r="E29" i="3024" s="1"/>
  <c r="E9" i="3024"/>
  <c r="F44" i="3021"/>
  <c r="F43" i="3021"/>
  <c r="O30" i="3021"/>
  <c r="O29" i="3021"/>
  <c r="L23" i="3021"/>
  <c r="H44" i="3021" s="1"/>
  <c r="D23" i="3021"/>
  <c r="H43" i="3021" s="1"/>
  <c r="P22" i="3021"/>
  <c r="O22" i="3021"/>
  <c r="N22" i="3021"/>
  <c r="H22" i="3021"/>
  <c r="G22" i="3021"/>
  <c r="F22" i="3021"/>
  <c r="P21" i="3021"/>
  <c r="O21" i="3021"/>
  <c r="N21" i="3021"/>
  <c r="H21" i="3021"/>
  <c r="G21" i="3021"/>
  <c r="F21" i="3021"/>
  <c r="H20" i="3021"/>
  <c r="G20" i="3021"/>
  <c r="F20" i="3021"/>
  <c r="H19" i="3021"/>
  <c r="G19" i="3021"/>
  <c r="F19" i="3021"/>
  <c r="H18" i="3021"/>
  <c r="G18" i="3021"/>
  <c r="F18" i="3021"/>
  <c r="H17" i="3021"/>
  <c r="G17" i="3021"/>
  <c r="F17" i="3021"/>
  <c r="H16" i="3021"/>
  <c r="H23" i="3021" s="1"/>
  <c r="G16" i="3021"/>
  <c r="F16" i="3021"/>
  <c r="G9" i="3021"/>
  <c r="E29" i="3021" s="1"/>
  <c r="E9" i="3021"/>
  <c r="F44" i="3020"/>
  <c r="F43" i="3020"/>
  <c r="O30" i="3020"/>
  <c r="O29" i="3020"/>
  <c r="L23" i="3020"/>
  <c r="H44" i="3020" s="1"/>
  <c r="D23" i="3020"/>
  <c r="H43" i="3020" s="1"/>
  <c r="P22" i="3020"/>
  <c r="O22" i="3020"/>
  <c r="N22" i="3020"/>
  <c r="H22" i="3020"/>
  <c r="G22" i="3020"/>
  <c r="F22" i="3020"/>
  <c r="P21" i="3020"/>
  <c r="O21" i="3020"/>
  <c r="N21" i="3020"/>
  <c r="H21" i="3020"/>
  <c r="G21" i="3020"/>
  <c r="F21" i="3020"/>
  <c r="P20" i="3020"/>
  <c r="O20" i="3020"/>
  <c r="N20" i="3020"/>
  <c r="H20" i="3020"/>
  <c r="G20" i="3020"/>
  <c r="F20" i="3020"/>
  <c r="P19" i="3020"/>
  <c r="O19" i="3020"/>
  <c r="N19" i="3020"/>
  <c r="H19" i="3020"/>
  <c r="G19" i="3020"/>
  <c r="F19" i="3020"/>
  <c r="P18" i="3020"/>
  <c r="O18" i="3020"/>
  <c r="N18" i="3020"/>
  <c r="H18" i="3020"/>
  <c r="G18" i="3020"/>
  <c r="F18" i="3020"/>
  <c r="P17" i="3020"/>
  <c r="O17" i="3020"/>
  <c r="N17" i="3020"/>
  <c r="H17" i="3020"/>
  <c r="G17" i="3020"/>
  <c r="F17" i="3020"/>
  <c r="H16" i="3020"/>
  <c r="H23" i="3020" s="1"/>
  <c r="G16" i="3020"/>
  <c r="F16" i="3020"/>
  <c r="G9" i="3020"/>
  <c r="E29" i="3020" s="1"/>
  <c r="E9" i="3020"/>
  <c r="F44" i="3019"/>
  <c r="F43" i="3019"/>
  <c r="O30" i="3019"/>
  <c r="O29" i="3019"/>
  <c r="L23" i="3019"/>
  <c r="H44" i="3019" s="1"/>
  <c r="D23" i="3019"/>
  <c r="H43" i="3019" s="1"/>
  <c r="P22" i="3019"/>
  <c r="O22" i="3019"/>
  <c r="N22" i="3019"/>
  <c r="H22" i="3019"/>
  <c r="G22" i="3019"/>
  <c r="F22" i="3019"/>
  <c r="P21" i="3019"/>
  <c r="O21" i="3019"/>
  <c r="N21" i="3019"/>
  <c r="H21" i="3019"/>
  <c r="G21" i="3019"/>
  <c r="F21" i="3019"/>
  <c r="H20" i="3019"/>
  <c r="G20" i="3019"/>
  <c r="F20" i="3019"/>
  <c r="H19" i="3019"/>
  <c r="G19" i="3019"/>
  <c r="F19" i="3019"/>
  <c r="H18" i="3019"/>
  <c r="G18" i="3019"/>
  <c r="F18" i="3019"/>
  <c r="H17" i="3019"/>
  <c r="G17" i="3019"/>
  <c r="F17" i="3019"/>
  <c r="H16" i="3019"/>
  <c r="H23" i="3019" s="1"/>
  <c r="G16" i="3019"/>
  <c r="F16" i="3019"/>
  <c r="G9" i="3019"/>
  <c r="E29" i="3019" s="1"/>
  <c r="E9" i="3019"/>
  <c r="F44" i="3018"/>
  <c r="F43" i="3018"/>
  <c r="O30" i="3018"/>
  <c r="O29" i="3018"/>
  <c r="L23" i="3018"/>
  <c r="H44" i="3018" s="1"/>
  <c r="D23" i="3018"/>
  <c r="H43" i="3018" s="1"/>
  <c r="P22" i="3018"/>
  <c r="O22" i="3018"/>
  <c r="N22" i="3018"/>
  <c r="H22" i="3018"/>
  <c r="G22" i="3018"/>
  <c r="F22" i="3018"/>
  <c r="P21" i="3018"/>
  <c r="O21" i="3018"/>
  <c r="N21" i="3018"/>
  <c r="H21" i="3018"/>
  <c r="G21" i="3018"/>
  <c r="F21" i="3018"/>
  <c r="P20" i="3018"/>
  <c r="O20" i="3018"/>
  <c r="N20" i="3018"/>
  <c r="H20" i="3018"/>
  <c r="G20" i="3018"/>
  <c r="F20" i="3018"/>
  <c r="P19" i="3018"/>
  <c r="O19" i="3018"/>
  <c r="N19" i="3018"/>
  <c r="H19" i="3018"/>
  <c r="G19" i="3018"/>
  <c r="F19" i="3018"/>
  <c r="P18" i="3018"/>
  <c r="O18" i="3018"/>
  <c r="N18" i="3018"/>
  <c r="H18" i="3018"/>
  <c r="G18" i="3018"/>
  <c r="F18" i="3018"/>
  <c r="H17" i="3018"/>
  <c r="G17" i="3018"/>
  <c r="F17" i="3018"/>
  <c r="H16" i="3018"/>
  <c r="H23" i="3018" s="1"/>
  <c r="G16" i="3018"/>
  <c r="F16" i="3018"/>
  <c r="G9" i="3018"/>
  <c r="E29" i="3018" s="1"/>
  <c r="E9" i="3018"/>
  <c r="F44" i="3017"/>
  <c r="F43" i="3017"/>
  <c r="O30" i="3017"/>
  <c r="O29" i="3017"/>
  <c r="L23" i="3017"/>
  <c r="H44" i="3017" s="1"/>
  <c r="D23" i="3017"/>
  <c r="H43" i="3017" s="1"/>
  <c r="P22" i="3017"/>
  <c r="O22" i="3017"/>
  <c r="N22" i="3017"/>
  <c r="H22" i="3017"/>
  <c r="G22" i="3017"/>
  <c r="F22" i="3017"/>
  <c r="P21" i="3017"/>
  <c r="O21" i="3017"/>
  <c r="N21" i="3017"/>
  <c r="H21" i="3017"/>
  <c r="G21" i="3017"/>
  <c r="F21" i="3017"/>
  <c r="N20" i="3017"/>
  <c r="O20" i="3017" s="1"/>
  <c r="P20" i="3017" s="1"/>
  <c r="H20" i="3017"/>
  <c r="G20" i="3017"/>
  <c r="F20" i="3017"/>
  <c r="P19" i="3017"/>
  <c r="O19" i="3017"/>
  <c r="N19" i="3017"/>
  <c r="H19" i="3017"/>
  <c r="G19" i="3017"/>
  <c r="F19" i="3017"/>
  <c r="N18" i="3017"/>
  <c r="O18" i="3017" s="1"/>
  <c r="P18" i="3017" s="1"/>
  <c r="H18" i="3017"/>
  <c r="G18" i="3017"/>
  <c r="F18" i="3017"/>
  <c r="H17" i="3017"/>
  <c r="G17" i="3017"/>
  <c r="F17" i="3017"/>
  <c r="H16" i="3017"/>
  <c r="H23" i="3017" s="1"/>
  <c r="G16" i="3017"/>
  <c r="F16" i="3017"/>
  <c r="G9" i="3017"/>
  <c r="E29" i="3017" s="1"/>
  <c r="E9" i="3017"/>
  <c r="F44" i="3016"/>
  <c r="F43" i="3016"/>
  <c r="O30" i="3016"/>
  <c r="O29" i="3016"/>
  <c r="L23" i="3016"/>
  <c r="H44" i="3016" s="1"/>
  <c r="D23" i="3016"/>
  <c r="H43" i="3016" s="1"/>
  <c r="P22" i="3016"/>
  <c r="O22" i="3016"/>
  <c r="N22" i="3016"/>
  <c r="H22" i="3016"/>
  <c r="G22" i="3016"/>
  <c r="F22" i="3016"/>
  <c r="P21" i="3016"/>
  <c r="O21" i="3016"/>
  <c r="N21" i="3016"/>
  <c r="H21" i="3016"/>
  <c r="G21" i="3016"/>
  <c r="F21" i="3016"/>
  <c r="P20" i="3016"/>
  <c r="O20" i="3016"/>
  <c r="N20" i="3016"/>
  <c r="H20" i="3016"/>
  <c r="G20" i="3016"/>
  <c r="F20" i="3016"/>
  <c r="P19" i="3016"/>
  <c r="O19" i="3016"/>
  <c r="N19" i="3016"/>
  <c r="H19" i="3016"/>
  <c r="G19" i="3016"/>
  <c r="F19" i="3016"/>
  <c r="P18" i="3016"/>
  <c r="O18" i="3016"/>
  <c r="N18" i="3016"/>
  <c r="H18" i="3016"/>
  <c r="G18" i="3016"/>
  <c r="F18" i="3016"/>
  <c r="H17" i="3016"/>
  <c r="G17" i="3016"/>
  <c r="F17" i="3016"/>
  <c r="H16" i="3016"/>
  <c r="H23" i="3016" s="1"/>
  <c r="G16" i="3016"/>
  <c r="F16" i="3016"/>
  <c r="G9" i="3016"/>
  <c r="E29" i="3016" s="1"/>
  <c r="E9" i="3016"/>
  <c r="F44" i="3015"/>
  <c r="F43" i="3015"/>
  <c r="O30" i="3015"/>
  <c r="O29" i="3015"/>
  <c r="L23" i="3015"/>
  <c r="H44" i="3015" s="1"/>
  <c r="D23" i="3015"/>
  <c r="H43" i="3015" s="1"/>
  <c r="P22" i="3015"/>
  <c r="O22" i="3015"/>
  <c r="N22" i="3015"/>
  <c r="H22" i="3015"/>
  <c r="G22" i="3015"/>
  <c r="F22" i="3015"/>
  <c r="P21" i="3015"/>
  <c r="O21" i="3015"/>
  <c r="N21" i="3015"/>
  <c r="H21" i="3015"/>
  <c r="G21" i="3015"/>
  <c r="F21" i="3015"/>
  <c r="P20" i="3015"/>
  <c r="O20" i="3015"/>
  <c r="N20" i="3015"/>
  <c r="H20" i="3015"/>
  <c r="G20" i="3015"/>
  <c r="F20" i="3015"/>
  <c r="P19" i="3015"/>
  <c r="O19" i="3015"/>
  <c r="N19" i="3015"/>
  <c r="H19" i="3015"/>
  <c r="G19" i="3015"/>
  <c r="F19" i="3015"/>
  <c r="P18" i="3015"/>
  <c r="O18" i="3015"/>
  <c r="N18" i="3015"/>
  <c r="H18" i="3015"/>
  <c r="G18" i="3015"/>
  <c r="F18" i="3015"/>
  <c r="H17" i="3015"/>
  <c r="G17" i="3015"/>
  <c r="F17" i="3015"/>
  <c r="H16" i="3015"/>
  <c r="H23" i="3015" s="1"/>
  <c r="G16" i="3015"/>
  <c r="F16" i="3015"/>
  <c r="G9" i="3015"/>
  <c r="E29" i="3015" s="1"/>
  <c r="E9" i="3015"/>
  <c r="V38" i="3014"/>
  <c r="F44" i="3014"/>
  <c r="F43" i="3014"/>
  <c r="T38" i="3014"/>
  <c r="S38" i="3014"/>
  <c r="R38" i="3014"/>
  <c r="O44" i="3014" s="1"/>
  <c r="O30" i="3014"/>
  <c r="O29" i="3014"/>
  <c r="L23" i="3014"/>
  <c r="H44" i="3014" s="1"/>
  <c r="D23" i="3014"/>
  <c r="H43" i="3014" s="1"/>
  <c r="P22" i="3014"/>
  <c r="O22" i="3014"/>
  <c r="N22" i="3014"/>
  <c r="H22" i="3014"/>
  <c r="G22" i="3014"/>
  <c r="F22" i="3014"/>
  <c r="P21" i="3014"/>
  <c r="O21" i="3014"/>
  <c r="N21" i="3014"/>
  <c r="H21" i="3014"/>
  <c r="G21" i="3014"/>
  <c r="F21" i="3014"/>
  <c r="P20" i="3014"/>
  <c r="O20" i="3014"/>
  <c r="N20" i="3014"/>
  <c r="H20" i="3014"/>
  <c r="G20" i="3014"/>
  <c r="F20" i="3014"/>
  <c r="P19" i="3014"/>
  <c r="O19" i="3014"/>
  <c r="N19" i="3014"/>
  <c r="H19" i="3014"/>
  <c r="G19" i="3014"/>
  <c r="F19" i="3014"/>
  <c r="P18" i="3014"/>
  <c r="O18" i="3014"/>
  <c r="N18" i="3014"/>
  <c r="H18" i="3014"/>
  <c r="G18" i="3014"/>
  <c r="F18" i="3014"/>
  <c r="H17" i="3014"/>
  <c r="G17" i="3014"/>
  <c r="F17" i="3014"/>
  <c r="H16" i="3014"/>
  <c r="H23" i="3014" s="1"/>
  <c r="G16" i="3014"/>
  <c r="F16" i="3014"/>
  <c r="G9" i="3014"/>
  <c r="E29" i="3014" s="1"/>
  <c r="E9" i="3014"/>
  <c r="V38" i="3013"/>
  <c r="V38" i="3012"/>
  <c r="V38" i="3011"/>
  <c r="O44" i="3011"/>
  <c r="V38" i="3006"/>
  <c r="F44" i="3013"/>
  <c r="F43" i="3013"/>
  <c r="T38" i="3013"/>
  <c r="S38" i="3013"/>
  <c r="R38" i="3013"/>
  <c r="O30" i="3013"/>
  <c r="O29" i="3013"/>
  <c r="L23" i="3013"/>
  <c r="H44" i="3013" s="1"/>
  <c r="D23" i="3013"/>
  <c r="H43" i="3013" s="1"/>
  <c r="P22" i="3013"/>
  <c r="O22" i="3013"/>
  <c r="N22" i="3013"/>
  <c r="H22" i="3013"/>
  <c r="G22" i="3013"/>
  <c r="F22" i="3013"/>
  <c r="P21" i="3013"/>
  <c r="O21" i="3013"/>
  <c r="N21" i="3013"/>
  <c r="H21" i="3013"/>
  <c r="G21" i="3013"/>
  <c r="F21" i="3013"/>
  <c r="P20" i="3013"/>
  <c r="O20" i="3013"/>
  <c r="N20" i="3013"/>
  <c r="H20" i="3013"/>
  <c r="G20" i="3013"/>
  <c r="F20" i="3013"/>
  <c r="P19" i="3013"/>
  <c r="O19" i="3013"/>
  <c r="N19" i="3013"/>
  <c r="H19" i="3013"/>
  <c r="G19" i="3013"/>
  <c r="F19" i="3013"/>
  <c r="P18" i="3013"/>
  <c r="O18" i="3013"/>
  <c r="N18" i="3013"/>
  <c r="H18" i="3013"/>
  <c r="G18" i="3013"/>
  <c r="F18" i="3013"/>
  <c r="H17" i="3013"/>
  <c r="G17" i="3013"/>
  <c r="F17" i="3013"/>
  <c r="H16" i="3013"/>
  <c r="H23" i="3013" s="1"/>
  <c r="G16" i="3013"/>
  <c r="F16" i="3013"/>
  <c r="G9" i="3013"/>
  <c r="E29" i="3013" s="1"/>
  <c r="E9" i="3013"/>
  <c r="C29" i="3013" s="1"/>
  <c r="F44" i="3012"/>
  <c r="F43" i="3012"/>
  <c r="T38" i="3012"/>
  <c r="S38" i="3012"/>
  <c r="R38" i="3012"/>
  <c r="O30" i="3012"/>
  <c r="O29" i="3012"/>
  <c r="L23" i="3012"/>
  <c r="H44" i="3012" s="1"/>
  <c r="D23" i="3012"/>
  <c r="H43" i="3012" s="1"/>
  <c r="P22" i="3012"/>
  <c r="O22" i="3012"/>
  <c r="N22" i="3012"/>
  <c r="H22" i="3012"/>
  <c r="G22" i="3012"/>
  <c r="F22" i="3012"/>
  <c r="P21" i="3012"/>
  <c r="O21" i="3012"/>
  <c r="N21" i="3012"/>
  <c r="H21" i="3012"/>
  <c r="G21" i="3012"/>
  <c r="F21" i="3012"/>
  <c r="P20" i="3012"/>
  <c r="O20" i="3012"/>
  <c r="N20" i="3012"/>
  <c r="H20" i="3012"/>
  <c r="G20" i="3012"/>
  <c r="F20" i="3012"/>
  <c r="P19" i="3012"/>
  <c r="O19" i="3012"/>
  <c r="N19" i="3012"/>
  <c r="H19" i="3012"/>
  <c r="G19" i="3012"/>
  <c r="F19" i="3012"/>
  <c r="P18" i="3012"/>
  <c r="O18" i="3012"/>
  <c r="N18" i="3012"/>
  <c r="H18" i="3012"/>
  <c r="G18" i="3012"/>
  <c r="F18" i="3012"/>
  <c r="P17" i="3012"/>
  <c r="O17" i="3012"/>
  <c r="N17" i="3012"/>
  <c r="H17" i="3012"/>
  <c r="G17" i="3012"/>
  <c r="F17" i="3012"/>
  <c r="H16" i="3012"/>
  <c r="H23" i="3012" s="1"/>
  <c r="G16" i="3012"/>
  <c r="F16" i="3012"/>
  <c r="G9" i="3012"/>
  <c r="E29" i="3012" s="1"/>
  <c r="E9" i="3012"/>
  <c r="C29" i="3012" s="1"/>
  <c r="F44" i="3011"/>
  <c r="F43" i="3011"/>
  <c r="T38" i="3011"/>
  <c r="S38" i="3011"/>
  <c r="R38" i="3011"/>
  <c r="O30" i="3011"/>
  <c r="O29" i="3011"/>
  <c r="L23" i="3011"/>
  <c r="H44" i="3011" s="1"/>
  <c r="D23" i="3011"/>
  <c r="H43" i="3011" s="1"/>
  <c r="P22" i="3011"/>
  <c r="O22" i="3011"/>
  <c r="N22" i="3011"/>
  <c r="H22" i="3011"/>
  <c r="G22" i="3011"/>
  <c r="F22" i="3011"/>
  <c r="P21" i="3011"/>
  <c r="O21" i="3011"/>
  <c r="N21" i="3011"/>
  <c r="H21" i="3011"/>
  <c r="G21" i="3011"/>
  <c r="F21" i="3011"/>
  <c r="P20" i="3011"/>
  <c r="O20" i="3011"/>
  <c r="N20" i="3011"/>
  <c r="H20" i="3011"/>
  <c r="G20" i="3011"/>
  <c r="F20" i="3011"/>
  <c r="P19" i="3011"/>
  <c r="O19" i="3011"/>
  <c r="N19" i="3011"/>
  <c r="H19" i="3011"/>
  <c r="G19" i="3011"/>
  <c r="F19" i="3011"/>
  <c r="P18" i="3011"/>
  <c r="O18" i="3011"/>
  <c r="N18" i="3011"/>
  <c r="H18" i="3011"/>
  <c r="G18" i="3011"/>
  <c r="F18" i="3011"/>
  <c r="P17" i="3011"/>
  <c r="O17" i="3011"/>
  <c r="N17" i="3011"/>
  <c r="H17" i="3011"/>
  <c r="G17" i="3011"/>
  <c r="F17" i="3011"/>
  <c r="H16" i="3011"/>
  <c r="H23" i="3011" s="1"/>
  <c r="G16" i="3011"/>
  <c r="F16" i="3011"/>
  <c r="G9" i="3011"/>
  <c r="E29" i="3011" s="1"/>
  <c r="E9" i="3011"/>
  <c r="C29" i="3011" s="1"/>
  <c r="G29" i="3076" l="1"/>
  <c r="E36" i="3076" s="1"/>
  <c r="C36" i="3076"/>
  <c r="P23" i="3064"/>
  <c r="P23" i="3063"/>
  <c r="P23" i="3037"/>
  <c r="C43" i="3067"/>
  <c r="K43" i="3067" s="1"/>
  <c r="M43" i="3067" s="1"/>
  <c r="C29" i="3067"/>
  <c r="N19" i="3067"/>
  <c r="O19" i="3067" s="1"/>
  <c r="P19" i="3067" s="1"/>
  <c r="N18" i="3067"/>
  <c r="O18" i="3067" s="1"/>
  <c r="P18" i="3067" s="1"/>
  <c r="N17" i="3067"/>
  <c r="O17" i="3067" s="1"/>
  <c r="P17" i="3067" s="1"/>
  <c r="C43" i="3066"/>
  <c r="K43" i="3066" s="1"/>
  <c r="M43" i="3066" s="1"/>
  <c r="C29" i="3066"/>
  <c r="C43" i="3065"/>
  <c r="K43" i="3065" s="1"/>
  <c r="M43" i="3065" s="1"/>
  <c r="C29" i="3065"/>
  <c r="C43" i="3064"/>
  <c r="K43" i="3064" s="1"/>
  <c r="M43" i="3064" s="1"/>
  <c r="C29" i="3064"/>
  <c r="C43" i="3063"/>
  <c r="K43" i="3063" s="1"/>
  <c r="M43" i="3063" s="1"/>
  <c r="C29" i="3063"/>
  <c r="C43" i="3062"/>
  <c r="K43" i="3062" s="1"/>
  <c r="M43" i="3062" s="1"/>
  <c r="C29" i="3062"/>
  <c r="N18" i="3062"/>
  <c r="O18" i="3062" s="1"/>
  <c r="P18" i="3062" s="1"/>
  <c r="N17" i="3062"/>
  <c r="O17" i="3062" s="1"/>
  <c r="P17" i="3062" s="1"/>
  <c r="N16" i="3062"/>
  <c r="O16" i="3062" s="1"/>
  <c r="P16" i="3062" s="1"/>
  <c r="C43" i="3053"/>
  <c r="K43" i="3053" s="1"/>
  <c r="M43" i="3053" s="1"/>
  <c r="C29" i="3053"/>
  <c r="C43" i="3051"/>
  <c r="K43" i="3051" s="1"/>
  <c r="M43" i="3051" s="1"/>
  <c r="C29" i="3051"/>
  <c r="C43" i="3050"/>
  <c r="K43" i="3050" s="1"/>
  <c r="M43" i="3050" s="1"/>
  <c r="C29" i="3050"/>
  <c r="N17" i="3050"/>
  <c r="O17" i="3050" s="1"/>
  <c r="P17" i="3050" s="1"/>
  <c r="N16" i="3050"/>
  <c r="O16" i="3050" s="1"/>
  <c r="P16" i="3050" s="1"/>
  <c r="C43" i="3049"/>
  <c r="K43" i="3049" s="1"/>
  <c r="M43" i="3049" s="1"/>
  <c r="C29" i="3049"/>
  <c r="C43" i="3048"/>
  <c r="K43" i="3048" s="1"/>
  <c r="M43" i="3048" s="1"/>
  <c r="C29" i="3048"/>
  <c r="C43" i="3047"/>
  <c r="K43" i="3047" s="1"/>
  <c r="M43" i="3047" s="1"/>
  <c r="C29" i="3047"/>
  <c r="C43" i="3046"/>
  <c r="K43" i="3046" s="1"/>
  <c r="M43" i="3046" s="1"/>
  <c r="C29" i="3046"/>
  <c r="N19" i="3046"/>
  <c r="O19" i="3046" s="1"/>
  <c r="P19" i="3046" s="1"/>
  <c r="N18" i="3046"/>
  <c r="O18" i="3046" s="1"/>
  <c r="P18" i="3046" s="1"/>
  <c r="N17" i="3046"/>
  <c r="O17" i="3046" s="1"/>
  <c r="P17" i="3046" s="1"/>
  <c r="N16" i="3046"/>
  <c r="O16" i="3046" s="1"/>
  <c r="P16" i="3046" s="1"/>
  <c r="C43" i="3045"/>
  <c r="K43" i="3045" s="1"/>
  <c r="M43" i="3045" s="1"/>
  <c r="C29" i="3045"/>
  <c r="N18" i="3045"/>
  <c r="O18" i="3045" s="1"/>
  <c r="P18" i="3045" s="1"/>
  <c r="N17" i="3045"/>
  <c r="O17" i="3045" s="1"/>
  <c r="P17" i="3045" s="1"/>
  <c r="N16" i="3045"/>
  <c r="O16" i="3045" s="1"/>
  <c r="P16" i="3045" s="1"/>
  <c r="C43" i="3044"/>
  <c r="K43" i="3044" s="1"/>
  <c r="M43" i="3044" s="1"/>
  <c r="C29" i="3044"/>
  <c r="C43" i="3043"/>
  <c r="K43" i="3043" s="1"/>
  <c r="M43" i="3043" s="1"/>
  <c r="C29" i="3043"/>
  <c r="C43" i="3042"/>
  <c r="K43" i="3042" s="1"/>
  <c r="M43" i="3042" s="1"/>
  <c r="C29" i="3042"/>
  <c r="C43" i="3041"/>
  <c r="K43" i="3041" s="1"/>
  <c r="M43" i="3041" s="1"/>
  <c r="C29" i="3041"/>
  <c r="C43" i="3040"/>
  <c r="K43" i="3040" s="1"/>
  <c r="M43" i="3040" s="1"/>
  <c r="C29" i="3040"/>
  <c r="N17" i="3040"/>
  <c r="O17" i="3040" s="1"/>
  <c r="P17" i="3040" s="1"/>
  <c r="N16" i="3040"/>
  <c r="O16" i="3040" s="1"/>
  <c r="P16" i="3040" s="1"/>
  <c r="C43" i="3039"/>
  <c r="K43" i="3039" s="1"/>
  <c r="M43" i="3039" s="1"/>
  <c r="C29" i="3039"/>
  <c r="C43" i="3038"/>
  <c r="K43" i="3038" s="1"/>
  <c r="M43" i="3038" s="1"/>
  <c r="C29" i="3038"/>
  <c r="P23" i="3025"/>
  <c r="C43" i="3037"/>
  <c r="K43" i="3037" s="1"/>
  <c r="M43" i="3037" s="1"/>
  <c r="C29" i="3037"/>
  <c r="C43" i="3034"/>
  <c r="K43" i="3034" s="1"/>
  <c r="M43" i="3034" s="1"/>
  <c r="C29" i="3034"/>
  <c r="C43" i="3033"/>
  <c r="K43" i="3033" s="1"/>
  <c r="M43" i="3033" s="1"/>
  <c r="C29" i="3033"/>
  <c r="N16" i="3033"/>
  <c r="O16" i="3033" s="1"/>
  <c r="P16" i="3033" s="1"/>
  <c r="P23" i="3033" s="1"/>
  <c r="C43" i="3032"/>
  <c r="K43" i="3032" s="1"/>
  <c r="M43" i="3032" s="1"/>
  <c r="C29" i="3032"/>
  <c r="N17" i="3032"/>
  <c r="O17" i="3032" s="1"/>
  <c r="P17" i="3032" s="1"/>
  <c r="C43" i="3031"/>
  <c r="K43" i="3031" s="1"/>
  <c r="M43" i="3031" s="1"/>
  <c r="C29" i="3031"/>
  <c r="N17" i="3031"/>
  <c r="O17" i="3031" s="1"/>
  <c r="P17" i="3031" s="1"/>
  <c r="C43" i="3030"/>
  <c r="K43" i="3030" s="1"/>
  <c r="M43" i="3030" s="1"/>
  <c r="C29" i="3030"/>
  <c r="C43" i="3029"/>
  <c r="K43" i="3029" s="1"/>
  <c r="M43" i="3029" s="1"/>
  <c r="C29" i="3029"/>
  <c r="N16" i="3029"/>
  <c r="O16" i="3029" s="1"/>
  <c r="P16" i="3029" s="1"/>
  <c r="P23" i="3029" s="1"/>
  <c r="C43" i="3028"/>
  <c r="K43" i="3028" s="1"/>
  <c r="M43" i="3028" s="1"/>
  <c r="C29" i="3028"/>
  <c r="C43" i="3027"/>
  <c r="K43" i="3027" s="1"/>
  <c r="M43" i="3027" s="1"/>
  <c r="C29" i="3027"/>
  <c r="C43" i="3026"/>
  <c r="K43" i="3026" s="1"/>
  <c r="M43" i="3026" s="1"/>
  <c r="C29" i="3026"/>
  <c r="C43" i="3025"/>
  <c r="K43" i="3025" s="1"/>
  <c r="M43" i="3025" s="1"/>
  <c r="C29" i="3025"/>
  <c r="F44" i="3025"/>
  <c r="O30" i="3025"/>
  <c r="C43" i="3024"/>
  <c r="K43" i="3024" s="1"/>
  <c r="M43" i="3024" s="1"/>
  <c r="C29" i="3024"/>
  <c r="N16" i="3024"/>
  <c r="O16" i="3024" s="1"/>
  <c r="P16" i="3024" s="1"/>
  <c r="P23" i="3024" s="1"/>
  <c r="C43" i="3021"/>
  <c r="K43" i="3021" s="1"/>
  <c r="M43" i="3021" s="1"/>
  <c r="C29" i="3021"/>
  <c r="N20" i="3021"/>
  <c r="O20" i="3021" s="1"/>
  <c r="P20" i="3021" s="1"/>
  <c r="N19" i="3021"/>
  <c r="O19" i="3021" s="1"/>
  <c r="P19" i="3021" s="1"/>
  <c r="N18" i="3021"/>
  <c r="O18" i="3021" s="1"/>
  <c r="P18" i="3021" s="1"/>
  <c r="C43" i="3020"/>
  <c r="K43" i="3020" s="1"/>
  <c r="M43" i="3020" s="1"/>
  <c r="C29" i="3020"/>
  <c r="N16" i="3020"/>
  <c r="O16" i="3020" s="1"/>
  <c r="P16" i="3020" s="1"/>
  <c r="P23" i="3020" s="1"/>
  <c r="C43" i="3019"/>
  <c r="K43" i="3019" s="1"/>
  <c r="M43" i="3019" s="1"/>
  <c r="C29" i="3019"/>
  <c r="C43" i="3018"/>
  <c r="K43" i="3018" s="1"/>
  <c r="M43" i="3018" s="1"/>
  <c r="C29" i="3018"/>
  <c r="N17" i="3018"/>
  <c r="O17" i="3018" s="1"/>
  <c r="P17" i="3018" s="1"/>
  <c r="C43" i="3017"/>
  <c r="K43" i="3017" s="1"/>
  <c r="M43" i="3017" s="1"/>
  <c r="C29" i="3017"/>
  <c r="C43" i="3016"/>
  <c r="K43" i="3016" s="1"/>
  <c r="M43" i="3016" s="1"/>
  <c r="C29" i="3016"/>
  <c r="N17" i="3016"/>
  <c r="O17" i="3016" s="1"/>
  <c r="P17" i="3016" s="1"/>
  <c r="N16" i="3016"/>
  <c r="O16" i="3016" s="1"/>
  <c r="P16" i="3016" s="1"/>
  <c r="P23" i="3016" s="1"/>
  <c r="C43" i="3015"/>
  <c r="K43" i="3015" s="1"/>
  <c r="M43" i="3015" s="1"/>
  <c r="C29" i="3015"/>
  <c r="C43" i="3014"/>
  <c r="K43" i="3014" s="1"/>
  <c r="M43" i="3014" s="1"/>
  <c r="C29" i="3014"/>
  <c r="C36" i="3013"/>
  <c r="G29" i="3013"/>
  <c r="E36" i="3013" s="1"/>
  <c r="G36" i="3013" s="1"/>
  <c r="N43" i="3013" s="1"/>
  <c r="C43" i="3013"/>
  <c r="K43" i="3013" s="1"/>
  <c r="M43" i="3013" s="1"/>
  <c r="G29" i="3012"/>
  <c r="E36" i="3012" s="1"/>
  <c r="C36" i="3012"/>
  <c r="C43" i="3012"/>
  <c r="K43" i="3012" s="1"/>
  <c r="M43" i="3012" s="1"/>
  <c r="C36" i="3011"/>
  <c r="G29" i="3011"/>
  <c r="E36" i="3011" s="1"/>
  <c r="G36" i="3011" s="1"/>
  <c r="N43" i="3011" s="1"/>
  <c r="C43" i="3011"/>
  <c r="K43" i="3011" s="1"/>
  <c r="M43" i="3011" s="1"/>
  <c r="F44" i="3009"/>
  <c r="F43" i="3009"/>
  <c r="U38" i="3009"/>
  <c r="R38" i="3009"/>
  <c r="O30" i="3009"/>
  <c r="O29" i="3009"/>
  <c r="L23" i="3009"/>
  <c r="H44" i="3009" s="1"/>
  <c r="D23" i="3009"/>
  <c r="H43" i="3009" s="1"/>
  <c r="P22" i="3009"/>
  <c r="O22" i="3009"/>
  <c r="N22" i="3009"/>
  <c r="H22" i="3009"/>
  <c r="G22" i="3009"/>
  <c r="F22" i="3009"/>
  <c r="P21" i="3009"/>
  <c r="O21" i="3009"/>
  <c r="N21" i="3009"/>
  <c r="H21" i="3009"/>
  <c r="G21" i="3009"/>
  <c r="F21" i="3009"/>
  <c r="P20" i="3009"/>
  <c r="O20" i="3009"/>
  <c r="N20" i="3009"/>
  <c r="H20" i="3009"/>
  <c r="G20" i="3009"/>
  <c r="F20" i="3009"/>
  <c r="P19" i="3009"/>
  <c r="O19" i="3009"/>
  <c r="N19" i="3009"/>
  <c r="H19" i="3009"/>
  <c r="G19" i="3009"/>
  <c r="F19" i="3009"/>
  <c r="H18" i="3009"/>
  <c r="G18" i="3009"/>
  <c r="F18" i="3009"/>
  <c r="H17" i="3009"/>
  <c r="G17" i="3009"/>
  <c r="F17" i="3009"/>
  <c r="H16" i="3009"/>
  <c r="H23" i="3009" s="1"/>
  <c r="G16" i="3009"/>
  <c r="F16" i="3009"/>
  <c r="N17" i="3009"/>
  <c r="O17" i="3009" s="1"/>
  <c r="P17" i="3009" s="1"/>
  <c r="G9" i="3009"/>
  <c r="E29" i="3009" s="1"/>
  <c r="E9" i="3009"/>
  <c r="C43" i="3009" s="1"/>
  <c r="P23" i="3050" l="1"/>
  <c r="G36" i="3076"/>
  <c r="N43" i="3076" s="1"/>
  <c r="P23" i="3046"/>
  <c r="P23" i="3062"/>
  <c r="P23" i="3045"/>
  <c r="P23" i="3040"/>
  <c r="C36" i="3067"/>
  <c r="G29" i="3067"/>
  <c r="E36" i="3067" s="1"/>
  <c r="G36" i="3067" s="1"/>
  <c r="N43" i="3067" s="1"/>
  <c r="C36" i="3066"/>
  <c r="G29" i="3066"/>
  <c r="E36" i="3066" s="1"/>
  <c r="G36" i="3066" s="1"/>
  <c r="N43" i="3066" s="1"/>
  <c r="C36" i="3065"/>
  <c r="G29" i="3065"/>
  <c r="E36" i="3065" s="1"/>
  <c r="G36" i="3065" s="1"/>
  <c r="N43" i="3065" s="1"/>
  <c r="C36" i="3064"/>
  <c r="G29" i="3064"/>
  <c r="E36" i="3064" s="1"/>
  <c r="G36" i="3064" s="1"/>
  <c r="N43" i="3064" s="1"/>
  <c r="C36" i="3063"/>
  <c r="G29" i="3063"/>
  <c r="E36" i="3063" s="1"/>
  <c r="G36" i="3063" s="1"/>
  <c r="N43" i="3063" s="1"/>
  <c r="C36" i="3062"/>
  <c r="G29" i="3062"/>
  <c r="E36" i="3062" s="1"/>
  <c r="G36" i="3062" s="1"/>
  <c r="N43" i="3062" s="1"/>
  <c r="C36" i="3053"/>
  <c r="G29" i="3053"/>
  <c r="E36" i="3053" s="1"/>
  <c r="G36" i="3053" s="1"/>
  <c r="N43" i="3053" s="1"/>
  <c r="C36" i="3051"/>
  <c r="G29" i="3051"/>
  <c r="E36" i="3051" s="1"/>
  <c r="G36" i="3051" s="1"/>
  <c r="N43" i="3051" s="1"/>
  <c r="C36" i="3050"/>
  <c r="G29" i="3050"/>
  <c r="E36" i="3050" s="1"/>
  <c r="G36" i="3050" s="1"/>
  <c r="N43" i="3050" s="1"/>
  <c r="C36" i="3049"/>
  <c r="G29" i="3049"/>
  <c r="E36" i="3049" s="1"/>
  <c r="G36" i="3049" s="1"/>
  <c r="N43" i="3049" s="1"/>
  <c r="C36" i="3048"/>
  <c r="G29" i="3048"/>
  <c r="E36" i="3048" s="1"/>
  <c r="G36" i="3048" s="1"/>
  <c r="N43" i="3048" s="1"/>
  <c r="C36" i="3047"/>
  <c r="G29" i="3047"/>
  <c r="E36" i="3047" s="1"/>
  <c r="G36" i="3047" s="1"/>
  <c r="N43" i="3047" s="1"/>
  <c r="C36" i="3046"/>
  <c r="G29" i="3046"/>
  <c r="E36" i="3046" s="1"/>
  <c r="G36" i="3046" s="1"/>
  <c r="N43" i="3046" s="1"/>
  <c r="C36" i="3045"/>
  <c r="G29" i="3045"/>
  <c r="E36" i="3045" s="1"/>
  <c r="G36" i="3045" s="1"/>
  <c r="N43" i="3045" s="1"/>
  <c r="C36" i="3044"/>
  <c r="G29" i="3044"/>
  <c r="E36" i="3044" s="1"/>
  <c r="G36" i="3044" s="1"/>
  <c r="N43" i="3044" s="1"/>
  <c r="C36" i="3043"/>
  <c r="G29" i="3043"/>
  <c r="E36" i="3043" s="1"/>
  <c r="G36" i="3043" s="1"/>
  <c r="N43" i="3043" s="1"/>
  <c r="C36" i="3042"/>
  <c r="G29" i="3042"/>
  <c r="E36" i="3042" s="1"/>
  <c r="G36" i="3042" s="1"/>
  <c r="N43" i="3042" s="1"/>
  <c r="C36" i="3041"/>
  <c r="G29" i="3041"/>
  <c r="E36" i="3041" s="1"/>
  <c r="G36" i="3041" s="1"/>
  <c r="N43" i="3041" s="1"/>
  <c r="C36" i="3040"/>
  <c r="G29" i="3040"/>
  <c r="E36" i="3040" s="1"/>
  <c r="G36" i="3040" s="1"/>
  <c r="N43" i="3040" s="1"/>
  <c r="C36" i="3039"/>
  <c r="G29" i="3039"/>
  <c r="E36" i="3039" s="1"/>
  <c r="G36" i="3039" s="1"/>
  <c r="N43" i="3039" s="1"/>
  <c r="C36" i="3038"/>
  <c r="G29" i="3038"/>
  <c r="E36" i="3038" s="1"/>
  <c r="G36" i="3038" s="1"/>
  <c r="N43" i="3038" s="1"/>
  <c r="C36" i="3037"/>
  <c r="G29" i="3037"/>
  <c r="E36" i="3037" s="1"/>
  <c r="G36" i="3037" s="1"/>
  <c r="N43" i="3037" s="1"/>
  <c r="C36" i="3034"/>
  <c r="G29" i="3034"/>
  <c r="E36" i="3034" s="1"/>
  <c r="G36" i="3034" s="1"/>
  <c r="N43" i="3034" s="1"/>
  <c r="C36" i="3033"/>
  <c r="G29" i="3033"/>
  <c r="E36" i="3033" s="1"/>
  <c r="G36" i="3033" s="1"/>
  <c r="N43" i="3033" s="1"/>
  <c r="C36" i="3032"/>
  <c r="G29" i="3032"/>
  <c r="E36" i="3032" s="1"/>
  <c r="G36" i="3032" s="1"/>
  <c r="N43" i="3032" s="1"/>
  <c r="C36" i="3031"/>
  <c r="G29" i="3031"/>
  <c r="E36" i="3031" s="1"/>
  <c r="G36" i="3031" s="1"/>
  <c r="N43" i="3031" s="1"/>
  <c r="C36" i="3030"/>
  <c r="G29" i="3030"/>
  <c r="E36" i="3030" s="1"/>
  <c r="G36" i="3030" s="1"/>
  <c r="N43" i="3030" s="1"/>
  <c r="C36" i="3029"/>
  <c r="G29" i="3029"/>
  <c r="E36" i="3029" s="1"/>
  <c r="G36" i="3029" s="1"/>
  <c r="N43" i="3029" s="1"/>
  <c r="C36" i="3028"/>
  <c r="G29" i="3028"/>
  <c r="E36" i="3028" s="1"/>
  <c r="G36" i="3028" s="1"/>
  <c r="N43" i="3028" s="1"/>
  <c r="C36" i="3027"/>
  <c r="G29" i="3027"/>
  <c r="E36" i="3027" s="1"/>
  <c r="G36" i="3027" s="1"/>
  <c r="N43" i="3027" s="1"/>
  <c r="C36" i="3026"/>
  <c r="G29" i="3026"/>
  <c r="E36" i="3026" s="1"/>
  <c r="G36" i="3026" s="1"/>
  <c r="N43" i="3026" s="1"/>
  <c r="C36" i="3025"/>
  <c r="G29" i="3025"/>
  <c r="E36" i="3025" s="1"/>
  <c r="G36" i="3025" s="1"/>
  <c r="N43" i="3025" s="1"/>
  <c r="C36" i="3024"/>
  <c r="G29" i="3024"/>
  <c r="E36" i="3024" s="1"/>
  <c r="G36" i="3024" s="1"/>
  <c r="N43" i="3024" s="1"/>
  <c r="C36" i="3021"/>
  <c r="G29" i="3021"/>
  <c r="E36" i="3021" s="1"/>
  <c r="G36" i="3021" s="1"/>
  <c r="N43" i="3021" s="1"/>
  <c r="C36" i="3020"/>
  <c r="G29" i="3020"/>
  <c r="E36" i="3020" s="1"/>
  <c r="G36" i="3020" s="1"/>
  <c r="N43" i="3020" s="1"/>
  <c r="C36" i="3019"/>
  <c r="G29" i="3019"/>
  <c r="E36" i="3019" s="1"/>
  <c r="G36" i="3019" s="1"/>
  <c r="N43" i="3019" s="1"/>
  <c r="C36" i="3018"/>
  <c r="G29" i="3018"/>
  <c r="E36" i="3018" s="1"/>
  <c r="G36" i="3018" s="1"/>
  <c r="N43" i="3018" s="1"/>
  <c r="C36" i="3017"/>
  <c r="G29" i="3017"/>
  <c r="E36" i="3017" s="1"/>
  <c r="G36" i="3017" s="1"/>
  <c r="N43" i="3017" s="1"/>
  <c r="C36" i="3016"/>
  <c r="G29" i="3016"/>
  <c r="E36" i="3016" s="1"/>
  <c r="G36" i="3016" s="1"/>
  <c r="N43" i="3016" s="1"/>
  <c r="C36" i="3015"/>
  <c r="G29" i="3015"/>
  <c r="E36" i="3015" s="1"/>
  <c r="G36" i="3015" s="1"/>
  <c r="N43" i="3015" s="1"/>
  <c r="C36" i="3014"/>
  <c r="G29" i="3014"/>
  <c r="E36" i="3014" s="1"/>
  <c r="G36" i="3014" s="1"/>
  <c r="N43" i="3014" s="1"/>
  <c r="G36" i="3012"/>
  <c r="N43" i="3012" s="1"/>
  <c r="K43" i="3009"/>
  <c r="M43" i="3009" s="1"/>
  <c r="C29" i="3009"/>
  <c r="N16" i="3009"/>
  <c r="O16" i="3009" s="1"/>
  <c r="P16" i="3009" s="1"/>
  <c r="N18" i="3009"/>
  <c r="O18" i="3009" s="1"/>
  <c r="P18" i="3009" s="1"/>
  <c r="F44" i="3006"/>
  <c r="F43" i="3006"/>
  <c r="T38" i="3006"/>
  <c r="S38" i="3006"/>
  <c r="R38" i="3006"/>
  <c r="O30" i="3006"/>
  <c r="O29" i="3006"/>
  <c r="L23" i="3006"/>
  <c r="H44" i="3006" s="1"/>
  <c r="D23" i="3006"/>
  <c r="H43" i="3006" s="1"/>
  <c r="P22" i="3006"/>
  <c r="O22" i="3006"/>
  <c r="N22" i="3006"/>
  <c r="H22" i="3006"/>
  <c r="G22" i="3006"/>
  <c r="F22" i="3006"/>
  <c r="P21" i="3006"/>
  <c r="O21" i="3006"/>
  <c r="N21" i="3006"/>
  <c r="H21" i="3006"/>
  <c r="G21" i="3006"/>
  <c r="F21" i="3006"/>
  <c r="P20" i="3006"/>
  <c r="O20" i="3006"/>
  <c r="N20" i="3006"/>
  <c r="H20" i="3006"/>
  <c r="G20" i="3006"/>
  <c r="F20" i="3006"/>
  <c r="P19" i="3006"/>
  <c r="O19" i="3006"/>
  <c r="N19" i="3006"/>
  <c r="H19" i="3006"/>
  <c r="G19" i="3006"/>
  <c r="F19" i="3006"/>
  <c r="P18" i="3006"/>
  <c r="O18" i="3006"/>
  <c r="N18" i="3006"/>
  <c r="H18" i="3006"/>
  <c r="G18" i="3006"/>
  <c r="F18" i="3006"/>
  <c r="P17" i="3006"/>
  <c r="O17" i="3006"/>
  <c r="N17" i="3006"/>
  <c r="H17" i="3006"/>
  <c r="G17" i="3006"/>
  <c r="F17" i="3006"/>
  <c r="N16" i="3006"/>
  <c r="O16" i="3006" s="1"/>
  <c r="P16" i="3006" s="1"/>
  <c r="H16" i="3006"/>
  <c r="H23" i="3006" s="1"/>
  <c r="G16" i="3006"/>
  <c r="F16" i="3006"/>
  <c r="G9" i="3006"/>
  <c r="E29" i="3006" s="1"/>
  <c r="E9" i="3006"/>
  <c r="F44" i="3005"/>
  <c r="F43" i="3005"/>
  <c r="V38" i="3005"/>
  <c r="U38" i="3005"/>
  <c r="T38" i="3005"/>
  <c r="S38" i="3005"/>
  <c r="R38" i="3005"/>
  <c r="O30" i="3005"/>
  <c r="O29" i="3005"/>
  <c r="L23" i="3005"/>
  <c r="H44" i="3005" s="1"/>
  <c r="D23" i="3005"/>
  <c r="H43" i="3005" s="1"/>
  <c r="P22" i="3005"/>
  <c r="O22" i="3005"/>
  <c r="N22" i="3005"/>
  <c r="H22" i="3005"/>
  <c r="G22" i="3005"/>
  <c r="F22" i="3005"/>
  <c r="P21" i="3005"/>
  <c r="O21" i="3005"/>
  <c r="N21" i="3005"/>
  <c r="H21" i="3005"/>
  <c r="G21" i="3005"/>
  <c r="F21" i="3005"/>
  <c r="P20" i="3005"/>
  <c r="O20" i="3005"/>
  <c r="N20" i="3005"/>
  <c r="H20" i="3005"/>
  <c r="G20" i="3005"/>
  <c r="F20" i="3005"/>
  <c r="P19" i="3005"/>
  <c r="O19" i="3005"/>
  <c r="N19" i="3005"/>
  <c r="H19" i="3005"/>
  <c r="G19" i="3005"/>
  <c r="F19" i="3005"/>
  <c r="P18" i="3005"/>
  <c r="O18" i="3005"/>
  <c r="N18" i="3005"/>
  <c r="H18" i="3005"/>
  <c r="G18" i="3005"/>
  <c r="F18" i="3005"/>
  <c r="P17" i="3005"/>
  <c r="O17" i="3005"/>
  <c r="N17" i="3005"/>
  <c r="H17" i="3005"/>
  <c r="G17" i="3005"/>
  <c r="F17" i="3005"/>
  <c r="P16" i="3005"/>
  <c r="O16" i="3005"/>
  <c r="N16" i="3005"/>
  <c r="H16" i="3005"/>
  <c r="H23" i="3005" s="1"/>
  <c r="G16" i="3005"/>
  <c r="F16" i="3005"/>
  <c r="G9" i="3005"/>
  <c r="E29" i="3005" s="1"/>
  <c r="E9" i="3005"/>
  <c r="F44" i="3004"/>
  <c r="F43" i="3004"/>
  <c r="V38" i="3004"/>
  <c r="U38" i="3004"/>
  <c r="T38" i="3004"/>
  <c r="S38" i="3004"/>
  <c r="R38" i="3004"/>
  <c r="O30" i="3004"/>
  <c r="O29" i="3004"/>
  <c r="L23" i="3004"/>
  <c r="H44" i="3004" s="1"/>
  <c r="D23" i="3004"/>
  <c r="H43" i="3004" s="1"/>
  <c r="P22" i="3004"/>
  <c r="O22" i="3004"/>
  <c r="N22" i="3004"/>
  <c r="H22" i="3004"/>
  <c r="G22" i="3004"/>
  <c r="F22" i="3004"/>
  <c r="P21" i="3004"/>
  <c r="O21" i="3004"/>
  <c r="N21" i="3004"/>
  <c r="H21" i="3004"/>
  <c r="G21" i="3004"/>
  <c r="F21" i="3004"/>
  <c r="P20" i="3004"/>
  <c r="O20" i="3004"/>
  <c r="N20" i="3004"/>
  <c r="H20" i="3004"/>
  <c r="G20" i="3004"/>
  <c r="F20" i="3004"/>
  <c r="P19" i="3004"/>
  <c r="O19" i="3004"/>
  <c r="N19" i="3004"/>
  <c r="H19" i="3004"/>
  <c r="G19" i="3004"/>
  <c r="F19" i="3004"/>
  <c r="P18" i="3004"/>
  <c r="O18" i="3004"/>
  <c r="N18" i="3004"/>
  <c r="H18" i="3004"/>
  <c r="G18" i="3004"/>
  <c r="F18" i="3004"/>
  <c r="P17" i="3004"/>
  <c r="O17" i="3004"/>
  <c r="N17" i="3004"/>
  <c r="H17" i="3004"/>
  <c r="G17" i="3004"/>
  <c r="F17" i="3004"/>
  <c r="H16" i="3004"/>
  <c r="H23" i="3004" s="1"/>
  <c r="G16" i="3004"/>
  <c r="F16" i="3004"/>
  <c r="G9" i="3004"/>
  <c r="E29" i="3004" s="1"/>
  <c r="E9" i="3004"/>
  <c r="T38" i="3003"/>
  <c r="F44" i="3003"/>
  <c r="F43" i="3003"/>
  <c r="V38" i="3003"/>
  <c r="U38" i="3003"/>
  <c r="S38" i="3003"/>
  <c r="R38" i="3003"/>
  <c r="O30" i="3003"/>
  <c r="O29" i="3003"/>
  <c r="L23" i="3003"/>
  <c r="H44" i="3003" s="1"/>
  <c r="D23" i="3003"/>
  <c r="H43" i="3003" s="1"/>
  <c r="P22" i="3003"/>
  <c r="O22" i="3003"/>
  <c r="N22" i="3003"/>
  <c r="H22" i="3003"/>
  <c r="G22" i="3003"/>
  <c r="F22" i="3003"/>
  <c r="P21" i="3003"/>
  <c r="O21" i="3003"/>
  <c r="N21" i="3003"/>
  <c r="H21" i="3003"/>
  <c r="G21" i="3003"/>
  <c r="F21" i="3003"/>
  <c r="P20" i="3003"/>
  <c r="O20" i="3003"/>
  <c r="N20" i="3003"/>
  <c r="H20" i="3003"/>
  <c r="G20" i="3003"/>
  <c r="F20" i="3003"/>
  <c r="P19" i="3003"/>
  <c r="O19" i="3003"/>
  <c r="N19" i="3003"/>
  <c r="H19" i="3003"/>
  <c r="G19" i="3003"/>
  <c r="F19" i="3003"/>
  <c r="P18" i="3003"/>
  <c r="O18" i="3003"/>
  <c r="N18" i="3003"/>
  <c r="H18" i="3003"/>
  <c r="G18" i="3003"/>
  <c r="F18" i="3003"/>
  <c r="H17" i="3003"/>
  <c r="G17" i="3003"/>
  <c r="F17" i="3003"/>
  <c r="H16" i="3003"/>
  <c r="H23" i="3003" s="1"/>
  <c r="G16" i="3003"/>
  <c r="F16" i="3003"/>
  <c r="G9" i="3003"/>
  <c r="E29" i="3003" s="1"/>
  <c r="E9" i="3003"/>
  <c r="F44" i="3002"/>
  <c r="F43" i="3002"/>
  <c r="V38" i="3002"/>
  <c r="U38" i="3002"/>
  <c r="T38" i="3002"/>
  <c r="S38" i="3002"/>
  <c r="R38" i="3002"/>
  <c r="O30" i="3002"/>
  <c r="O29" i="3002"/>
  <c r="L23" i="3002"/>
  <c r="H44" i="3002" s="1"/>
  <c r="D23" i="3002"/>
  <c r="H43" i="3002" s="1"/>
  <c r="P22" i="3002"/>
  <c r="O22" i="3002"/>
  <c r="N22" i="3002"/>
  <c r="H22" i="3002"/>
  <c r="G22" i="3002"/>
  <c r="F22" i="3002"/>
  <c r="P21" i="3002"/>
  <c r="O21" i="3002"/>
  <c r="N21" i="3002"/>
  <c r="H21" i="3002"/>
  <c r="G21" i="3002"/>
  <c r="F21" i="3002"/>
  <c r="P20" i="3002"/>
  <c r="O20" i="3002"/>
  <c r="N20" i="3002"/>
  <c r="H20" i="3002"/>
  <c r="G20" i="3002"/>
  <c r="F20" i="3002"/>
  <c r="P19" i="3002"/>
  <c r="O19" i="3002"/>
  <c r="N19" i="3002"/>
  <c r="H19" i="3002"/>
  <c r="G19" i="3002"/>
  <c r="F19" i="3002"/>
  <c r="P18" i="3002"/>
  <c r="O18" i="3002"/>
  <c r="N18" i="3002"/>
  <c r="H18" i="3002"/>
  <c r="G18" i="3002"/>
  <c r="F18" i="3002"/>
  <c r="H17" i="3002"/>
  <c r="G17" i="3002"/>
  <c r="F17" i="3002"/>
  <c r="H16" i="3002"/>
  <c r="H23" i="3002" s="1"/>
  <c r="G16" i="3002"/>
  <c r="F16" i="3002"/>
  <c r="G9" i="3002"/>
  <c r="E29" i="3002" s="1"/>
  <c r="E9" i="3002"/>
  <c r="V38" i="3001"/>
  <c r="T38" i="3001"/>
  <c r="F44" i="3001"/>
  <c r="F43" i="3001"/>
  <c r="U38" i="3001"/>
  <c r="S38" i="3001"/>
  <c r="R38" i="3001"/>
  <c r="O30" i="3001"/>
  <c r="O29" i="3001"/>
  <c r="L23" i="3001"/>
  <c r="H44" i="3001" s="1"/>
  <c r="D23" i="3001"/>
  <c r="H43" i="3001" s="1"/>
  <c r="P22" i="3001"/>
  <c r="O22" i="3001"/>
  <c r="N22" i="3001"/>
  <c r="H22" i="3001"/>
  <c r="G22" i="3001"/>
  <c r="F22" i="3001"/>
  <c r="P21" i="3001"/>
  <c r="O21" i="3001"/>
  <c r="N21" i="3001"/>
  <c r="H21" i="3001"/>
  <c r="G21" i="3001"/>
  <c r="F21" i="3001"/>
  <c r="P20" i="3001"/>
  <c r="O20" i="3001"/>
  <c r="N20" i="3001"/>
  <c r="H20" i="3001"/>
  <c r="G20" i="3001"/>
  <c r="F20" i="3001"/>
  <c r="P19" i="3001"/>
  <c r="O19" i="3001"/>
  <c r="N19" i="3001"/>
  <c r="H19" i="3001"/>
  <c r="G19" i="3001"/>
  <c r="F19" i="3001"/>
  <c r="P18" i="3001"/>
  <c r="O18" i="3001"/>
  <c r="N18" i="3001"/>
  <c r="H18" i="3001"/>
  <c r="G18" i="3001"/>
  <c r="F18" i="3001"/>
  <c r="P17" i="3001"/>
  <c r="O17" i="3001"/>
  <c r="N17" i="3001"/>
  <c r="H17" i="3001"/>
  <c r="G17" i="3001"/>
  <c r="F17" i="3001"/>
  <c r="H16" i="3001"/>
  <c r="H23" i="3001" s="1"/>
  <c r="G16" i="3001"/>
  <c r="F16" i="3001"/>
  <c r="G9" i="3001"/>
  <c r="E29" i="3001" s="1"/>
  <c r="E9" i="3001"/>
  <c r="S38" i="3000"/>
  <c r="F44" i="3000"/>
  <c r="F43" i="3000"/>
  <c r="U38" i="3000"/>
  <c r="R38" i="3000"/>
  <c r="O30" i="3000"/>
  <c r="O29" i="3000"/>
  <c r="D23" i="3000"/>
  <c r="H43" i="3000" s="1"/>
  <c r="P22" i="3000"/>
  <c r="O22" i="3000"/>
  <c r="N22" i="3000"/>
  <c r="H22" i="3000"/>
  <c r="G22" i="3000"/>
  <c r="F22" i="3000"/>
  <c r="P21" i="3000"/>
  <c r="O21" i="3000"/>
  <c r="N21" i="3000"/>
  <c r="H21" i="3000"/>
  <c r="G21" i="3000"/>
  <c r="F21" i="3000"/>
  <c r="P20" i="3000"/>
  <c r="O20" i="3000"/>
  <c r="N20" i="3000"/>
  <c r="H20" i="3000"/>
  <c r="G20" i="3000"/>
  <c r="F20" i="3000"/>
  <c r="P19" i="3000"/>
  <c r="O19" i="3000"/>
  <c r="N19" i="3000"/>
  <c r="H19" i="3000"/>
  <c r="G19" i="3000"/>
  <c r="F19" i="3000"/>
  <c r="P18" i="3000"/>
  <c r="O18" i="3000"/>
  <c r="N18" i="3000"/>
  <c r="H18" i="3000"/>
  <c r="G18" i="3000"/>
  <c r="F18" i="3000"/>
  <c r="P17" i="3000"/>
  <c r="O17" i="3000"/>
  <c r="N17" i="3000"/>
  <c r="H17" i="3000"/>
  <c r="G17" i="3000"/>
  <c r="F17" i="3000"/>
  <c r="H16" i="3000"/>
  <c r="H23" i="3000" s="1"/>
  <c r="G16" i="3000"/>
  <c r="F16" i="3000"/>
  <c r="G9" i="3000"/>
  <c r="E29" i="3000" s="1"/>
  <c r="E9" i="3000"/>
  <c r="L16" i="2999"/>
  <c r="U38" i="2999"/>
  <c r="F44" i="2999"/>
  <c r="F43" i="2999"/>
  <c r="R38" i="2999"/>
  <c r="O30" i="2999"/>
  <c r="O29" i="2999"/>
  <c r="L23" i="2999"/>
  <c r="H44" i="2999" s="1"/>
  <c r="D23" i="2999"/>
  <c r="H43" i="2999" s="1"/>
  <c r="P22" i="2999"/>
  <c r="O22" i="2999"/>
  <c r="N22" i="2999"/>
  <c r="H22" i="2999"/>
  <c r="G22" i="2999"/>
  <c r="F22" i="2999"/>
  <c r="P21" i="2999"/>
  <c r="O21" i="2999"/>
  <c r="N21" i="2999"/>
  <c r="H21" i="2999"/>
  <c r="G21" i="2999"/>
  <c r="F21" i="2999"/>
  <c r="P20" i="2999"/>
  <c r="O20" i="2999"/>
  <c r="N20" i="2999"/>
  <c r="H20" i="2999"/>
  <c r="G20" i="2999"/>
  <c r="F20" i="2999"/>
  <c r="P19" i="2999"/>
  <c r="O19" i="2999"/>
  <c r="N19" i="2999"/>
  <c r="H19" i="2999"/>
  <c r="G19" i="2999"/>
  <c r="F19" i="2999"/>
  <c r="P18" i="2999"/>
  <c r="O18" i="2999"/>
  <c r="N18" i="2999"/>
  <c r="H18" i="2999"/>
  <c r="G18" i="2999"/>
  <c r="F18" i="2999"/>
  <c r="P17" i="2999"/>
  <c r="O17" i="2999"/>
  <c r="N17" i="2999"/>
  <c r="H17" i="2999"/>
  <c r="G17" i="2999"/>
  <c r="F17" i="2999"/>
  <c r="H16" i="2999"/>
  <c r="H23" i="2999" s="1"/>
  <c r="G16" i="2999"/>
  <c r="F16" i="2999"/>
  <c r="G9" i="2999"/>
  <c r="E29" i="2999" s="1"/>
  <c r="E9" i="2999"/>
  <c r="F44" i="2998"/>
  <c r="F43" i="2998"/>
  <c r="U38" i="2998"/>
  <c r="R38" i="2998"/>
  <c r="O30" i="2998"/>
  <c r="O29" i="2998"/>
  <c r="L23" i="2998"/>
  <c r="H44" i="2998" s="1"/>
  <c r="D23" i="2998"/>
  <c r="H43" i="2998" s="1"/>
  <c r="P22" i="2998"/>
  <c r="O22" i="2998"/>
  <c r="N22" i="2998"/>
  <c r="H22" i="2998"/>
  <c r="G22" i="2998"/>
  <c r="F22" i="2998"/>
  <c r="P21" i="2998"/>
  <c r="O21" i="2998"/>
  <c r="N21" i="2998"/>
  <c r="H21" i="2998"/>
  <c r="G21" i="2998"/>
  <c r="F21" i="2998"/>
  <c r="P20" i="2998"/>
  <c r="O20" i="2998"/>
  <c r="N20" i="2998"/>
  <c r="H20" i="2998"/>
  <c r="G20" i="2998"/>
  <c r="F20" i="2998"/>
  <c r="P19" i="2998"/>
  <c r="O19" i="2998"/>
  <c r="N19" i="2998"/>
  <c r="H19" i="2998"/>
  <c r="G19" i="2998"/>
  <c r="F19" i="2998"/>
  <c r="P18" i="2998"/>
  <c r="O18" i="2998"/>
  <c r="N18" i="2998"/>
  <c r="H18" i="2998"/>
  <c r="G18" i="2998"/>
  <c r="F18" i="2998"/>
  <c r="P17" i="2998"/>
  <c r="O17" i="2998"/>
  <c r="N17" i="2998"/>
  <c r="H17" i="2998"/>
  <c r="G17" i="2998"/>
  <c r="F17" i="2998"/>
  <c r="P16" i="2998"/>
  <c r="O16" i="2998"/>
  <c r="N16" i="2998"/>
  <c r="H16" i="2998"/>
  <c r="H23" i="2998" s="1"/>
  <c r="G16" i="2998"/>
  <c r="F16" i="2998"/>
  <c r="G9" i="2998"/>
  <c r="E29" i="2998" s="1"/>
  <c r="E9" i="2998"/>
  <c r="F44" i="2997"/>
  <c r="F43" i="2997"/>
  <c r="U38" i="2997"/>
  <c r="R38" i="2997"/>
  <c r="O30" i="2997"/>
  <c r="O29" i="2997"/>
  <c r="L23" i="2997"/>
  <c r="H44" i="2997" s="1"/>
  <c r="D23" i="2997"/>
  <c r="H43" i="2997" s="1"/>
  <c r="P22" i="2997"/>
  <c r="O22" i="2997"/>
  <c r="N22" i="2997"/>
  <c r="H22" i="2997"/>
  <c r="G22" i="2997"/>
  <c r="F22" i="2997"/>
  <c r="P21" i="2997"/>
  <c r="O21" i="2997"/>
  <c r="N21" i="2997"/>
  <c r="H21" i="2997"/>
  <c r="G21" i="2997"/>
  <c r="F21" i="2997"/>
  <c r="P20" i="2997"/>
  <c r="O20" i="2997"/>
  <c r="N20" i="2997"/>
  <c r="H20" i="2997"/>
  <c r="G20" i="2997"/>
  <c r="F20" i="2997"/>
  <c r="P19" i="2997"/>
  <c r="O19" i="2997"/>
  <c r="N19" i="2997"/>
  <c r="H19" i="2997"/>
  <c r="G19" i="2997"/>
  <c r="F19" i="2997"/>
  <c r="H18" i="2997"/>
  <c r="G18" i="2997"/>
  <c r="F18" i="2997"/>
  <c r="H17" i="2997"/>
  <c r="G17" i="2997"/>
  <c r="F17" i="2997"/>
  <c r="H16" i="2997"/>
  <c r="H23" i="2997" s="1"/>
  <c r="G16" i="2997"/>
  <c r="F16" i="2997"/>
  <c r="G9" i="2997"/>
  <c r="E29" i="2997" s="1"/>
  <c r="E9" i="2997"/>
  <c r="U38" i="2996"/>
  <c r="F43" i="2996"/>
  <c r="R38" i="2996"/>
  <c r="O29" i="2996"/>
  <c r="L23" i="2996"/>
  <c r="H44" i="2996" s="1"/>
  <c r="D23" i="2996"/>
  <c r="H43" i="2996" s="1"/>
  <c r="P22" i="2996"/>
  <c r="O22" i="2996"/>
  <c r="N22" i="2996"/>
  <c r="H22" i="2996"/>
  <c r="G22" i="2996"/>
  <c r="F22" i="2996"/>
  <c r="P21" i="2996"/>
  <c r="O21" i="2996"/>
  <c r="N21" i="2996"/>
  <c r="H21" i="2996"/>
  <c r="G21" i="2996"/>
  <c r="F21" i="2996"/>
  <c r="P20" i="2996"/>
  <c r="O20" i="2996"/>
  <c r="N20" i="2996"/>
  <c r="H20" i="2996"/>
  <c r="G20" i="2996"/>
  <c r="F20" i="2996"/>
  <c r="P19" i="2996"/>
  <c r="O19" i="2996"/>
  <c r="N19" i="2996"/>
  <c r="H19" i="2996"/>
  <c r="G19" i="2996"/>
  <c r="F19" i="2996"/>
  <c r="H18" i="2996"/>
  <c r="G18" i="2996"/>
  <c r="F18" i="2996"/>
  <c r="H17" i="2996"/>
  <c r="G17" i="2996"/>
  <c r="F17" i="2996"/>
  <c r="H16" i="2996"/>
  <c r="H23" i="2996" s="1"/>
  <c r="G16" i="2996"/>
  <c r="F16" i="2996"/>
  <c r="G9" i="2996"/>
  <c r="E29" i="2996" s="1"/>
  <c r="E9" i="2996"/>
  <c r="K30" i="2994"/>
  <c r="U38" i="2994"/>
  <c r="F44" i="2994"/>
  <c r="F43" i="2994"/>
  <c r="R38" i="2994"/>
  <c r="O30" i="2994"/>
  <c r="O29" i="2994"/>
  <c r="L23" i="2994"/>
  <c r="H44" i="2994" s="1"/>
  <c r="D23" i="2994"/>
  <c r="H43" i="2994" s="1"/>
  <c r="P22" i="2994"/>
  <c r="O22" i="2994"/>
  <c r="N22" i="2994"/>
  <c r="H22" i="2994"/>
  <c r="G22" i="2994"/>
  <c r="F22" i="2994"/>
  <c r="P21" i="2994"/>
  <c r="O21" i="2994"/>
  <c r="N21" i="2994"/>
  <c r="H21" i="2994"/>
  <c r="G21" i="2994"/>
  <c r="F21" i="2994"/>
  <c r="P20" i="2994"/>
  <c r="O20" i="2994"/>
  <c r="N20" i="2994"/>
  <c r="H20" i="2994"/>
  <c r="G20" i="2994"/>
  <c r="F20" i="2994"/>
  <c r="P19" i="2994"/>
  <c r="O19" i="2994"/>
  <c r="N19" i="2994"/>
  <c r="H19" i="2994"/>
  <c r="G19" i="2994"/>
  <c r="F19" i="2994"/>
  <c r="P18" i="2994"/>
  <c r="O18" i="2994"/>
  <c r="N18" i="2994"/>
  <c r="H18" i="2994"/>
  <c r="G18" i="2994"/>
  <c r="F18" i="2994"/>
  <c r="P17" i="2994"/>
  <c r="O17" i="2994"/>
  <c r="N17" i="2994"/>
  <c r="H17" i="2994"/>
  <c r="G17" i="2994"/>
  <c r="F17" i="2994"/>
  <c r="H16" i="2994"/>
  <c r="H23" i="2994" s="1"/>
  <c r="G16" i="2994"/>
  <c r="F16" i="2994"/>
  <c r="G9" i="2994"/>
  <c r="E29" i="2994" s="1"/>
  <c r="E9" i="2994"/>
  <c r="U38" i="2993"/>
  <c r="R38" i="2993"/>
  <c r="F43" i="2993"/>
  <c r="O29" i="2993"/>
  <c r="L23" i="2993"/>
  <c r="H44" i="2993" s="1"/>
  <c r="D23" i="2993"/>
  <c r="H43" i="2993" s="1"/>
  <c r="N22" i="2993"/>
  <c r="O22" i="2993" s="1"/>
  <c r="P22" i="2993" s="1"/>
  <c r="H22" i="2993"/>
  <c r="G22" i="2993"/>
  <c r="F22" i="2993"/>
  <c r="P21" i="2993"/>
  <c r="O21" i="2993"/>
  <c r="N21" i="2993"/>
  <c r="H21" i="2993"/>
  <c r="G21" i="2993"/>
  <c r="F21" i="2993"/>
  <c r="P20" i="2993"/>
  <c r="O20" i="2993"/>
  <c r="N20" i="2993"/>
  <c r="H20" i="2993"/>
  <c r="G20" i="2993"/>
  <c r="F20" i="2993"/>
  <c r="P19" i="2993"/>
  <c r="O19" i="2993"/>
  <c r="N19" i="2993"/>
  <c r="H19" i="2993"/>
  <c r="G19" i="2993"/>
  <c r="F19" i="2993"/>
  <c r="P18" i="2993"/>
  <c r="O18" i="2993"/>
  <c r="N18" i="2993"/>
  <c r="H18" i="2993"/>
  <c r="G18" i="2993"/>
  <c r="F18" i="2993"/>
  <c r="H17" i="2993"/>
  <c r="G17" i="2993"/>
  <c r="F17" i="2993"/>
  <c r="H16" i="2993"/>
  <c r="H23" i="2993" s="1"/>
  <c r="G16" i="2993"/>
  <c r="F16" i="2993"/>
  <c r="G9" i="2993"/>
  <c r="E29" i="2993" s="1"/>
  <c r="E9" i="2993"/>
  <c r="F44" i="2992"/>
  <c r="F43" i="2992"/>
  <c r="R38" i="2992"/>
  <c r="O30" i="2992"/>
  <c r="O29" i="2992"/>
  <c r="L23" i="2992"/>
  <c r="H44" i="2992" s="1"/>
  <c r="D23" i="2992"/>
  <c r="H43" i="2992" s="1"/>
  <c r="P22" i="2992"/>
  <c r="O22" i="2992"/>
  <c r="N22" i="2992"/>
  <c r="H22" i="2992"/>
  <c r="G22" i="2992"/>
  <c r="F22" i="2992"/>
  <c r="P21" i="2992"/>
  <c r="O21" i="2992"/>
  <c r="N21" i="2992"/>
  <c r="H21" i="2992"/>
  <c r="G21" i="2992"/>
  <c r="F21" i="2992"/>
  <c r="P20" i="2992"/>
  <c r="O20" i="2992"/>
  <c r="N20" i="2992"/>
  <c r="H20" i="2992"/>
  <c r="G20" i="2992"/>
  <c r="F20" i="2992"/>
  <c r="P19" i="2992"/>
  <c r="O19" i="2992"/>
  <c r="N19" i="2992"/>
  <c r="H19" i="2992"/>
  <c r="G19" i="2992"/>
  <c r="F19" i="2992"/>
  <c r="H18" i="2992"/>
  <c r="G18" i="2992"/>
  <c r="F18" i="2992"/>
  <c r="H17" i="2992"/>
  <c r="G17" i="2992"/>
  <c r="F17" i="2992"/>
  <c r="H16" i="2992"/>
  <c r="H23" i="2992" s="1"/>
  <c r="G16" i="2992"/>
  <c r="F16" i="2992"/>
  <c r="G9" i="2992"/>
  <c r="E29" i="2992" s="1"/>
  <c r="E9" i="2992"/>
  <c r="F44" i="2991"/>
  <c r="F43" i="2991"/>
  <c r="R38" i="2991"/>
  <c r="O30" i="2991"/>
  <c r="O29" i="2991"/>
  <c r="L23" i="2991"/>
  <c r="H44" i="2991" s="1"/>
  <c r="D23" i="2991"/>
  <c r="H43" i="2991" s="1"/>
  <c r="P22" i="2991"/>
  <c r="O22" i="2991"/>
  <c r="N22" i="2991"/>
  <c r="H22" i="2991"/>
  <c r="G22" i="2991"/>
  <c r="F22" i="2991"/>
  <c r="P21" i="2991"/>
  <c r="O21" i="2991"/>
  <c r="N21" i="2991"/>
  <c r="H21" i="2991"/>
  <c r="G21" i="2991"/>
  <c r="F21" i="2991"/>
  <c r="P20" i="2991"/>
  <c r="O20" i="2991"/>
  <c r="N20" i="2991"/>
  <c r="H20" i="2991"/>
  <c r="G20" i="2991"/>
  <c r="F20" i="2991"/>
  <c r="P19" i="2991"/>
  <c r="O19" i="2991"/>
  <c r="N19" i="2991"/>
  <c r="H19" i="2991"/>
  <c r="G19" i="2991"/>
  <c r="F19" i="2991"/>
  <c r="H18" i="2991"/>
  <c r="G18" i="2991"/>
  <c r="F18" i="2991"/>
  <c r="H17" i="2991"/>
  <c r="G17" i="2991"/>
  <c r="F17" i="2991"/>
  <c r="H16" i="2991"/>
  <c r="H23" i="2991" s="1"/>
  <c r="G16" i="2991"/>
  <c r="F16" i="2991"/>
  <c r="G9" i="2991"/>
  <c r="E29" i="2991" s="1"/>
  <c r="E9" i="2991"/>
  <c r="R38" i="2990"/>
  <c r="F44" i="2990"/>
  <c r="F43" i="2990"/>
  <c r="O30" i="2990"/>
  <c r="O29" i="2990"/>
  <c r="L23" i="2990"/>
  <c r="H44" i="2990" s="1"/>
  <c r="D23" i="2990"/>
  <c r="H43" i="2990" s="1"/>
  <c r="P22" i="2990"/>
  <c r="O22" i="2990"/>
  <c r="N22" i="2990"/>
  <c r="H22" i="2990"/>
  <c r="G22" i="2990"/>
  <c r="F22" i="2990"/>
  <c r="P21" i="2990"/>
  <c r="O21" i="2990"/>
  <c r="N21" i="2990"/>
  <c r="H21" i="2990"/>
  <c r="G21" i="2990"/>
  <c r="F21" i="2990"/>
  <c r="P20" i="2990"/>
  <c r="O20" i="2990"/>
  <c r="N20" i="2990"/>
  <c r="H20" i="2990"/>
  <c r="G20" i="2990"/>
  <c r="F20" i="2990"/>
  <c r="P19" i="2990"/>
  <c r="O19" i="2990"/>
  <c r="N19" i="2990"/>
  <c r="H19" i="2990"/>
  <c r="G19" i="2990"/>
  <c r="F19" i="2990"/>
  <c r="P18" i="2990"/>
  <c r="O18" i="2990"/>
  <c r="N18" i="2990"/>
  <c r="H18" i="2990"/>
  <c r="G18" i="2990"/>
  <c r="F18" i="2990"/>
  <c r="P17" i="2990"/>
  <c r="O17" i="2990"/>
  <c r="N17" i="2990"/>
  <c r="H17" i="2990"/>
  <c r="G17" i="2990"/>
  <c r="F17" i="2990"/>
  <c r="P16" i="2990"/>
  <c r="O16" i="2990"/>
  <c r="N16" i="2990"/>
  <c r="H16" i="2990"/>
  <c r="H23" i="2990" s="1"/>
  <c r="G16" i="2990"/>
  <c r="F16" i="2990"/>
  <c r="G9" i="2990"/>
  <c r="E29" i="2990" s="1"/>
  <c r="E9" i="2990"/>
  <c r="F44" i="2989"/>
  <c r="F43" i="2989"/>
  <c r="R38" i="2989"/>
  <c r="O30" i="2989"/>
  <c r="O29" i="2989"/>
  <c r="L23" i="2989"/>
  <c r="H44" i="2989" s="1"/>
  <c r="D23" i="2989"/>
  <c r="H43" i="2989" s="1"/>
  <c r="P22" i="2989"/>
  <c r="O22" i="2989"/>
  <c r="N22" i="2989"/>
  <c r="H22" i="2989"/>
  <c r="G22" i="2989"/>
  <c r="F22" i="2989"/>
  <c r="P21" i="2989"/>
  <c r="O21" i="2989"/>
  <c r="N21" i="2989"/>
  <c r="H21" i="2989"/>
  <c r="G21" i="2989"/>
  <c r="F21" i="2989"/>
  <c r="P20" i="2989"/>
  <c r="O20" i="2989"/>
  <c r="N20" i="2989"/>
  <c r="H20" i="2989"/>
  <c r="G20" i="2989"/>
  <c r="F20" i="2989"/>
  <c r="P19" i="2989"/>
  <c r="O19" i="2989"/>
  <c r="N19" i="2989"/>
  <c r="H19" i="2989"/>
  <c r="G19" i="2989"/>
  <c r="F19" i="2989"/>
  <c r="P18" i="2989"/>
  <c r="O18" i="2989"/>
  <c r="N18" i="2989"/>
  <c r="H18" i="2989"/>
  <c r="G18" i="2989"/>
  <c r="F18" i="2989"/>
  <c r="P17" i="2989"/>
  <c r="O17" i="2989"/>
  <c r="N17" i="2989"/>
  <c r="H17" i="2989"/>
  <c r="G17" i="2989"/>
  <c r="F17" i="2989"/>
  <c r="P16" i="2989"/>
  <c r="O16" i="2989"/>
  <c r="N16" i="2989"/>
  <c r="H16" i="2989"/>
  <c r="H23" i="2989" s="1"/>
  <c r="G16" i="2989"/>
  <c r="F16" i="2989"/>
  <c r="G9" i="2989"/>
  <c r="E29" i="2989" s="1"/>
  <c r="E9" i="2989"/>
  <c r="R38" i="2985"/>
  <c r="R38" i="2986"/>
  <c r="R38" i="2987"/>
  <c r="R38" i="2988"/>
  <c r="F44" i="2988"/>
  <c r="F43" i="2988"/>
  <c r="O30" i="2988"/>
  <c r="O29" i="2988"/>
  <c r="L23" i="2988"/>
  <c r="H44" i="2988" s="1"/>
  <c r="D23" i="2988"/>
  <c r="H43" i="2988" s="1"/>
  <c r="P22" i="2988"/>
  <c r="O22" i="2988"/>
  <c r="N22" i="2988"/>
  <c r="H22" i="2988"/>
  <c r="G22" i="2988"/>
  <c r="F22" i="2988"/>
  <c r="P21" i="2988"/>
  <c r="O21" i="2988"/>
  <c r="N21" i="2988"/>
  <c r="H21" i="2988"/>
  <c r="G21" i="2988"/>
  <c r="F21" i="2988"/>
  <c r="P20" i="2988"/>
  <c r="O20" i="2988"/>
  <c r="N20" i="2988"/>
  <c r="H20" i="2988"/>
  <c r="G20" i="2988"/>
  <c r="F20" i="2988"/>
  <c r="P19" i="2988"/>
  <c r="O19" i="2988"/>
  <c r="N19" i="2988"/>
  <c r="H19" i="2988"/>
  <c r="G19" i="2988"/>
  <c r="F19" i="2988"/>
  <c r="P18" i="2988"/>
  <c r="O18" i="2988"/>
  <c r="N18" i="2988"/>
  <c r="H18" i="2988"/>
  <c r="G18" i="2988"/>
  <c r="F18" i="2988"/>
  <c r="P17" i="2988"/>
  <c r="O17" i="2988"/>
  <c r="N17" i="2988"/>
  <c r="H17" i="2988"/>
  <c r="G17" i="2988"/>
  <c r="F17" i="2988"/>
  <c r="H16" i="2988"/>
  <c r="H23" i="2988" s="1"/>
  <c r="G16" i="2988"/>
  <c r="F16" i="2988"/>
  <c r="G9" i="2988"/>
  <c r="E29" i="2988" s="1"/>
  <c r="E9" i="2988"/>
  <c r="F44" i="2987"/>
  <c r="F43" i="2987"/>
  <c r="O30" i="2987"/>
  <c r="O29" i="2987"/>
  <c r="L23" i="2987"/>
  <c r="H44" i="2987" s="1"/>
  <c r="D23" i="2987"/>
  <c r="H43" i="2987" s="1"/>
  <c r="P22" i="2987"/>
  <c r="O22" i="2987"/>
  <c r="N22" i="2987"/>
  <c r="H22" i="2987"/>
  <c r="G22" i="2987"/>
  <c r="F22" i="2987"/>
  <c r="P21" i="2987"/>
  <c r="O21" i="2987"/>
  <c r="N21" i="2987"/>
  <c r="H21" i="2987"/>
  <c r="G21" i="2987"/>
  <c r="F21" i="2987"/>
  <c r="P20" i="2987"/>
  <c r="O20" i="2987"/>
  <c r="N20" i="2987"/>
  <c r="H20" i="2987"/>
  <c r="G20" i="2987"/>
  <c r="F20" i="2987"/>
  <c r="P19" i="2987"/>
  <c r="O19" i="2987"/>
  <c r="N19" i="2987"/>
  <c r="H19" i="2987"/>
  <c r="G19" i="2987"/>
  <c r="F19" i="2987"/>
  <c r="P18" i="2987"/>
  <c r="O18" i="2987"/>
  <c r="N18" i="2987"/>
  <c r="H18" i="2987"/>
  <c r="G18" i="2987"/>
  <c r="F18" i="2987"/>
  <c r="P17" i="2987"/>
  <c r="O17" i="2987"/>
  <c r="N17" i="2987"/>
  <c r="H17" i="2987"/>
  <c r="G17" i="2987"/>
  <c r="F17" i="2987"/>
  <c r="H16" i="2987"/>
  <c r="H23" i="2987" s="1"/>
  <c r="G16" i="2987"/>
  <c r="F16" i="2987"/>
  <c r="G9" i="2987"/>
  <c r="E29" i="2987" s="1"/>
  <c r="E9" i="2987"/>
  <c r="F44" i="2986"/>
  <c r="F43" i="2986"/>
  <c r="O30" i="2986"/>
  <c r="O29" i="2986"/>
  <c r="L23" i="2986"/>
  <c r="H44" i="2986" s="1"/>
  <c r="D23" i="2986"/>
  <c r="H43" i="2986" s="1"/>
  <c r="P22" i="2986"/>
  <c r="O22" i="2986"/>
  <c r="N22" i="2986"/>
  <c r="H22" i="2986"/>
  <c r="G22" i="2986"/>
  <c r="F22" i="2986"/>
  <c r="P21" i="2986"/>
  <c r="O21" i="2986"/>
  <c r="N21" i="2986"/>
  <c r="H21" i="2986"/>
  <c r="G21" i="2986"/>
  <c r="F21" i="2986"/>
  <c r="P20" i="2986"/>
  <c r="O20" i="2986"/>
  <c r="N20" i="2986"/>
  <c r="H20" i="2986"/>
  <c r="G20" i="2986"/>
  <c r="F20" i="2986"/>
  <c r="P19" i="2986"/>
  <c r="O19" i="2986"/>
  <c r="N19" i="2986"/>
  <c r="H19" i="2986"/>
  <c r="G19" i="2986"/>
  <c r="F19" i="2986"/>
  <c r="P18" i="2986"/>
  <c r="O18" i="2986"/>
  <c r="N18" i="2986"/>
  <c r="H18" i="2986"/>
  <c r="G18" i="2986"/>
  <c r="F18" i="2986"/>
  <c r="P17" i="2986"/>
  <c r="O17" i="2986"/>
  <c r="N17" i="2986"/>
  <c r="H17" i="2986"/>
  <c r="G17" i="2986"/>
  <c r="F17" i="2986"/>
  <c r="P16" i="2986"/>
  <c r="O16" i="2986"/>
  <c r="N16" i="2986"/>
  <c r="H16" i="2986"/>
  <c r="H23" i="2986" s="1"/>
  <c r="G16" i="2986"/>
  <c r="F16" i="2986"/>
  <c r="G9" i="2986"/>
  <c r="E29" i="2986" s="1"/>
  <c r="E9" i="2986"/>
  <c r="F44" i="2985"/>
  <c r="F43" i="2985"/>
  <c r="O30" i="2985"/>
  <c r="O29" i="2985"/>
  <c r="L23" i="2985"/>
  <c r="H44" i="2985" s="1"/>
  <c r="D23" i="2985"/>
  <c r="H43" i="2985" s="1"/>
  <c r="P22" i="2985"/>
  <c r="O22" i="2985"/>
  <c r="N22" i="2985"/>
  <c r="H22" i="2985"/>
  <c r="G22" i="2985"/>
  <c r="F22" i="2985"/>
  <c r="P21" i="2985"/>
  <c r="O21" i="2985"/>
  <c r="N21" i="2985"/>
  <c r="H21" i="2985"/>
  <c r="G21" i="2985"/>
  <c r="F21" i="2985"/>
  <c r="P20" i="2985"/>
  <c r="O20" i="2985"/>
  <c r="N20" i="2985"/>
  <c r="H20" i="2985"/>
  <c r="G20" i="2985"/>
  <c r="F20" i="2985"/>
  <c r="P19" i="2985"/>
  <c r="O19" i="2985"/>
  <c r="N19" i="2985"/>
  <c r="H19" i="2985"/>
  <c r="G19" i="2985"/>
  <c r="F19" i="2985"/>
  <c r="P18" i="2985"/>
  <c r="O18" i="2985"/>
  <c r="N18" i="2985"/>
  <c r="H18" i="2985"/>
  <c r="G18" i="2985"/>
  <c r="F18" i="2985"/>
  <c r="P17" i="2985"/>
  <c r="O17" i="2985"/>
  <c r="N17" i="2985"/>
  <c r="H17" i="2985"/>
  <c r="G17" i="2985"/>
  <c r="F17" i="2985"/>
  <c r="H16" i="2985"/>
  <c r="H23" i="2985" s="1"/>
  <c r="G16" i="2985"/>
  <c r="F16" i="2985"/>
  <c r="G9" i="2985"/>
  <c r="E29" i="2985" s="1"/>
  <c r="E9" i="2985"/>
  <c r="F44" i="2984"/>
  <c r="F43" i="2984"/>
  <c r="O30" i="2984"/>
  <c r="O29" i="2984"/>
  <c r="L23" i="2984"/>
  <c r="H44" i="2984" s="1"/>
  <c r="D23" i="2984"/>
  <c r="H43" i="2984" s="1"/>
  <c r="P22" i="2984"/>
  <c r="O22" i="2984"/>
  <c r="N22" i="2984"/>
  <c r="H22" i="2984"/>
  <c r="G22" i="2984"/>
  <c r="F22" i="2984"/>
  <c r="P21" i="2984"/>
  <c r="O21" i="2984"/>
  <c r="N21" i="2984"/>
  <c r="H21" i="2984"/>
  <c r="G21" i="2984"/>
  <c r="F21" i="2984"/>
  <c r="P20" i="2984"/>
  <c r="O20" i="2984"/>
  <c r="N20" i="2984"/>
  <c r="H20" i="2984"/>
  <c r="G20" i="2984"/>
  <c r="F20" i="2984"/>
  <c r="P19" i="2984"/>
  <c r="O19" i="2984"/>
  <c r="N19" i="2984"/>
  <c r="H19" i="2984"/>
  <c r="G19" i="2984"/>
  <c r="F19" i="2984"/>
  <c r="P18" i="2984"/>
  <c r="O18" i="2984"/>
  <c r="N18" i="2984"/>
  <c r="H18" i="2984"/>
  <c r="G18" i="2984"/>
  <c r="F18" i="2984"/>
  <c r="H17" i="2984"/>
  <c r="G17" i="2984"/>
  <c r="F17" i="2984"/>
  <c r="H16" i="2984"/>
  <c r="H23" i="2984" s="1"/>
  <c r="G16" i="2984"/>
  <c r="F16" i="2984"/>
  <c r="G9" i="2984"/>
  <c r="E29" i="2984" s="1"/>
  <c r="E9" i="2984"/>
  <c r="F44" i="2983"/>
  <c r="F43" i="2983"/>
  <c r="O30" i="2983"/>
  <c r="O29" i="2983"/>
  <c r="L23" i="2983"/>
  <c r="H44" i="2983" s="1"/>
  <c r="D23" i="2983"/>
  <c r="H43" i="2983" s="1"/>
  <c r="P22" i="2983"/>
  <c r="O22" i="2983"/>
  <c r="N22" i="2983"/>
  <c r="H22" i="2983"/>
  <c r="G22" i="2983"/>
  <c r="F22" i="2983"/>
  <c r="P21" i="2983"/>
  <c r="O21" i="2983"/>
  <c r="N21" i="2983"/>
  <c r="H21" i="2983"/>
  <c r="G21" i="2983"/>
  <c r="F21" i="2983"/>
  <c r="P20" i="2983"/>
  <c r="O20" i="2983"/>
  <c r="N20" i="2983"/>
  <c r="H20" i="2983"/>
  <c r="G20" i="2983"/>
  <c r="F20" i="2983"/>
  <c r="P19" i="2983"/>
  <c r="O19" i="2983"/>
  <c r="N19" i="2983"/>
  <c r="H19" i="2983"/>
  <c r="G19" i="2983"/>
  <c r="F19" i="2983"/>
  <c r="P18" i="2983"/>
  <c r="O18" i="2983"/>
  <c r="N18" i="2983"/>
  <c r="H18" i="2983"/>
  <c r="G18" i="2983"/>
  <c r="F18" i="2983"/>
  <c r="H17" i="2983"/>
  <c r="G17" i="2983"/>
  <c r="F17" i="2983"/>
  <c r="H16" i="2983"/>
  <c r="H23" i="2983" s="1"/>
  <c r="G16" i="2983"/>
  <c r="F16" i="2983"/>
  <c r="G9" i="2983"/>
  <c r="E29" i="2983" s="1"/>
  <c r="E9" i="2983"/>
  <c r="F44" i="2982"/>
  <c r="F43" i="2982"/>
  <c r="O30" i="2982"/>
  <c r="O29" i="2982"/>
  <c r="L23" i="2982"/>
  <c r="H44" i="2982" s="1"/>
  <c r="D23" i="2982"/>
  <c r="H43" i="2982" s="1"/>
  <c r="P22" i="2982"/>
  <c r="O22" i="2982"/>
  <c r="N22" i="2982"/>
  <c r="H22" i="2982"/>
  <c r="G22" i="2982"/>
  <c r="F22" i="2982"/>
  <c r="P21" i="2982"/>
  <c r="O21" i="2982"/>
  <c r="N21" i="2982"/>
  <c r="H21" i="2982"/>
  <c r="G21" i="2982"/>
  <c r="F21" i="2982"/>
  <c r="P20" i="2982"/>
  <c r="O20" i="2982"/>
  <c r="N20" i="2982"/>
  <c r="H20" i="2982"/>
  <c r="G20" i="2982"/>
  <c r="F20" i="2982"/>
  <c r="P19" i="2982"/>
  <c r="O19" i="2982"/>
  <c r="N19" i="2982"/>
  <c r="H19" i="2982"/>
  <c r="G19" i="2982"/>
  <c r="F19" i="2982"/>
  <c r="P18" i="2982"/>
  <c r="O18" i="2982"/>
  <c r="N18" i="2982"/>
  <c r="H18" i="2982"/>
  <c r="G18" i="2982"/>
  <c r="F18" i="2982"/>
  <c r="H17" i="2982"/>
  <c r="G17" i="2982"/>
  <c r="F17" i="2982"/>
  <c r="H16" i="2982"/>
  <c r="H23" i="2982" s="1"/>
  <c r="G16" i="2982"/>
  <c r="F16" i="2982"/>
  <c r="G9" i="2982"/>
  <c r="E29" i="2982" s="1"/>
  <c r="E9" i="2982"/>
  <c r="F44" i="2981"/>
  <c r="F43" i="2981"/>
  <c r="O30" i="2981"/>
  <c r="O29" i="2981"/>
  <c r="L23" i="2981"/>
  <c r="H44" i="2981" s="1"/>
  <c r="D23" i="2981"/>
  <c r="H43" i="2981" s="1"/>
  <c r="P22" i="2981"/>
  <c r="O22" i="2981"/>
  <c r="N22" i="2981"/>
  <c r="H22" i="2981"/>
  <c r="G22" i="2981"/>
  <c r="F22" i="2981"/>
  <c r="P21" i="2981"/>
  <c r="O21" i="2981"/>
  <c r="N21" i="2981"/>
  <c r="H21" i="2981"/>
  <c r="G21" i="2981"/>
  <c r="F21" i="2981"/>
  <c r="P20" i="2981"/>
  <c r="O20" i="2981"/>
  <c r="N20" i="2981"/>
  <c r="H20" i="2981"/>
  <c r="G20" i="2981"/>
  <c r="F20" i="2981"/>
  <c r="P19" i="2981"/>
  <c r="O19" i="2981"/>
  <c r="N19" i="2981"/>
  <c r="H19" i="2981"/>
  <c r="G19" i="2981"/>
  <c r="F19" i="2981"/>
  <c r="P18" i="2981"/>
  <c r="O18" i="2981"/>
  <c r="N18" i="2981"/>
  <c r="H18" i="2981"/>
  <c r="G18" i="2981"/>
  <c r="F18" i="2981"/>
  <c r="H17" i="2981"/>
  <c r="G17" i="2981"/>
  <c r="F17" i="2981"/>
  <c r="H16" i="2981"/>
  <c r="H23" i="2981" s="1"/>
  <c r="G16" i="2981"/>
  <c r="F16" i="2981"/>
  <c r="G9" i="2981"/>
  <c r="E29" i="2981" s="1"/>
  <c r="E9" i="2981"/>
  <c r="E9" i="2971"/>
  <c r="G9" i="2971"/>
  <c r="E29" i="2971" s="1"/>
  <c r="F16" i="2971"/>
  <c r="G16" i="2971"/>
  <c r="H16" i="2971"/>
  <c r="F17" i="2971"/>
  <c r="G17" i="2971"/>
  <c r="H17" i="2971"/>
  <c r="N17" i="2971"/>
  <c r="O17" i="2971"/>
  <c r="P17" i="2971"/>
  <c r="F18" i="2971"/>
  <c r="G18" i="2971"/>
  <c r="H18" i="2971"/>
  <c r="N18" i="2971"/>
  <c r="O18" i="2971"/>
  <c r="P18" i="2971"/>
  <c r="F19" i="2971"/>
  <c r="G19" i="2971"/>
  <c r="H19" i="2971"/>
  <c r="N19" i="2971"/>
  <c r="O19" i="2971"/>
  <c r="P19" i="2971"/>
  <c r="F20" i="2971"/>
  <c r="G20" i="2971"/>
  <c r="H20" i="2971"/>
  <c r="N20" i="2971"/>
  <c r="O20" i="2971"/>
  <c r="P20" i="2971"/>
  <c r="F21" i="2971"/>
  <c r="G21" i="2971"/>
  <c r="H21" i="2971"/>
  <c r="N21" i="2971"/>
  <c r="O21" i="2971"/>
  <c r="P21" i="2971"/>
  <c r="F22" i="2971"/>
  <c r="G22" i="2971"/>
  <c r="H22" i="2971"/>
  <c r="N22" i="2971"/>
  <c r="O22" i="2971"/>
  <c r="P22" i="2971"/>
  <c r="D23" i="2971"/>
  <c r="C29" i="2971" s="1"/>
  <c r="L23" i="2971"/>
  <c r="O29" i="2971"/>
  <c r="O30" i="2971"/>
  <c r="C43" i="2971"/>
  <c r="F43" i="2971"/>
  <c r="F44" i="2971"/>
  <c r="H44" i="2971"/>
  <c r="F44" i="2980"/>
  <c r="F43" i="2980"/>
  <c r="O30" i="2980"/>
  <c r="O29" i="2980"/>
  <c r="L23" i="2980"/>
  <c r="H44" i="2980" s="1"/>
  <c r="D23" i="2980"/>
  <c r="H43" i="2980" s="1"/>
  <c r="P22" i="2980"/>
  <c r="O22" i="2980"/>
  <c r="N22" i="2980"/>
  <c r="H22" i="2980"/>
  <c r="G22" i="2980"/>
  <c r="F22" i="2980"/>
  <c r="P21" i="2980"/>
  <c r="O21" i="2980"/>
  <c r="N21" i="2980"/>
  <c r="H21" i="2980"/>
  <c r="G21" i="2980"/>
  <c r="F21" i="2980"/>
  <c r="P20" i="2980"/>
  <c r="O20" i="2980"/>
  <c r="N20" i="2980"/>
  <c r="H20" i="2980"/>
  <c r="G20" i="2980"/>
  <c r="F20" i="2980"/>
  <c r="P19" i="2980"/>
  <c r="O19" i="2980"/>
  <c r="N19" i="2980"/>
  <c r="H19" i="2980"/>
  <c r="G19" i="2980"/>
  <c r="F19" i="2980"/>
  <c r="P18" i="2980"/>
  <c r="O18" i="2980"/>
  <c r="N18" i="2980"/>
  <c r="H18" i="2980"/>
  <c r="G18" i="2980"/>
  <c r="F18" i="2980"/>
  <c r="P17" i="2980"/>
  <c r="O17" i="2980"/>
  <c r="N17" i="2980"/>
  <c r="H17" i="2980"/>
  <c r="G17" i="2980"/>
  <c r="F17" i="2980"/>
  <c r="N16" i="2980"/>
  <c r="O16" i="2980" s="1"/>
  <c r="P16" i="2980" s="1"/>
  <c r="H16" i="2980"/>
  <c r="G16" i="2980"/>
  <c r="F16" i="2980"/>
  <c r="G9" i="2980"/>
  <c r="E29" i="2980" s="1"/>
  <c r="E9" i="2980"/>
  <c r="C29" i="2980" s="1"/>
  <c r="F44" i="2979"/>
  <c r="F43" i="2979"/>
  <c r="O30" i="2979"/>
  <c r="O29" i="2979"/>
  <c r="L23" i="2979"/>
  <c r="H44" i="2979" s="1"/>
  <c r="D23" i="2979"/>
  <c r="H43" i="2979" s="1"/>
  <c r="P22" i="2979"/>
  <c r="O22" i="2979"/>
  <c r="N22" i="2979"/>
  <c r="H22" i="2979"/>
  <c r="G22" i="2979"/>
  <c r="F22" i="2979"/>
  <c r="P21" i="2979"/>
  <c r="O21" i="2979"/>
  <c r="N21" i="2979"/>
  <c r="H21" i="2979"/>
  <c r="G21" i="2979"/>
  <c r="F21" i="2979"/>
  <c r="P20" i="2979"/>
  <c r="O20" i="2979"/>
  <c r="N20" i="2979"/>
  <c r="H20" i="2979"/>
  <c r="G20" i="2979"/>
  <c r="F20" i="2979"/>
  <c r="P19" i="2979"/>
  <c r="O19" i="2979"/>
  <c r="N19" i="2979"/>
  <c r="H19" i="2979"/>
  <c r="G19" i="2979"/>
  <c r="F19" i="2979"/>
  <c r="P18" i="2979"/>
  <c r="O18" i="2979"/>
  <c r="N18" i="2979"/>
  <c r="H18" i="2979"/>
  <c r="G18" i="2979"/>
  <c r="F18" i="2979"/>
  <c r="P17" i="2979"/>
  <c r="O17" i="2979"/>
  <c r="N17" i="2979"/>
  <c r="H17" i="2979"/>
  <c r="G17" i="2979"/>
  <c r="F17" i="2979"/>
  <c r="H16" i="2979"/>
  <c r="H23" i="2979" s="1"/>
  <c r="G16" i="2979"/>
  <c r="F16" i="2979"/>
  <c r="G9" i="2979"/>
  <c r="E29" i="2979" s="1"/>
  <c r="E9" i="2979"/>
  <c r="C29" i="2979" s="1"/>
  <c r="F44" i="2978"/>
  <c r="F43" i="2978"/>
  <c r="O30" i="2978"/>
  <c r="O29" i="2978"/>
  <c r="L23" i="2978"/>
  <c r="H44" i="2978" s="1"/>
  <c r="D23" i="2978"/>
  <c r="H43" i="2978" s="1"/>
  <c r="P22" i="2978"/>
  <c r="O22" i="2978"/>
  <c r="N22" i="2978"/>
  <c r="H22" i="2978"/>
  <c r="G22" i="2978"/>
  <c r="F22" i="2978"/>
  <c r="P21" i="2978"/>
  <c r="O21" i="2978"/>
  <c r="N21" i="2978"/>
  <c r="H21" i="2978"/>
  <c r="G21" i="2978"/>
  <c r="F21" i="2978"/>
  <c r="P20" i="2978"/>
  <c r="O20" i="2978"/>
  <c r="N20" i="2978"/>
  <c r="H20" i="2978"/>
  <c r="G20" i="2978"/>
  <c r="F20" i="2978"/>
  <c r="P19" i="2978"/>
  <c r="O19" i="2978"/>
  <c r="N19" i="2978"/>
  <c r="H19" i="2978"/>
  <c r="G19" i="2978"/>
  <c r="F19" i="2978"/>
  <c r="P18" i="2978"/>
  <c r="O18" i="2978"/>
  <c r="N18" i="2978"/>
  <c r="H18" i="2978"/>
  <c r="G18" i="2978"/>
  <c r="F18" i="2978"/>
  <c r="N17" i="2978"/>
  <c r="O17" i="2978" s="1"/>
  <c r="P17" i="2978" s="1"/>
  <c r="H17" i="2978"/>
  <c r="G17" i="2978"/>
  <c r="F17" i="2978"/>
  <c r="N16" i="2978"/>
  <c r="O16" i="2978" s="1"/>
  <c r="P16" i="2978" s="1"/>
  <c r="H16" i="2978"/>
  <c r="H23" i="2978" s="1"/>
  <c r="G16" i="2978"/>
  <c r="F16" i="2978"/>
  <c r="G9" i="2978"/>
  <c r="E29" i="2978" s="1"/>
  <c r="E9" i="2978"/>
  <c r="C29" i="2978" s="1"/>
  <c r="P23" i="3009" l="1"/>
  <c r="G29" i="3009"/>
  <c r="E36" i="3009" s="1"/>
  <c r="C36" i="3009"/>
  <c r="P23" i="3005"/>
  <c r="P23" i="3006"/>
  <c r="P23" i="2998"/>
  <c r="C43" i="3006"/>
  <c r="K43" i="3006" s="1"/>
  <c r="M43" i="3006" s="1"/>
  <c r="C29" i="3006"/>
  <c r="C43" i="3005"/>
  <c r="K43" i="3005" s="1"/>
  <c r="M43" i="3005" s="1"/>
  <c r="C29" i="3005"/>
  <c r="C43" i="3004"/>
  <c r="K43" i="3004" s="1"/>
  <c r="M43" i="3004" s="1"/>
  <c r="C29" i="3004"/>
  <c r="N16" i="3004"/>
  <c r="O16" i="3004" s="1"/>
  <c r="P16" i="3004" s="1"/>
  <c r="P23" i="3004" s="1"/>
  <c r="C43" i="3003"/>
  <c r="K43" i="3003" s="1"/>
  <c r="M43" i="3003" s="1"/>
  <c r="C29" i="3003"/>
  <c r="N17" i="3003"/>
  <c r="O17" i="3003" s="1"/>
  <c r="P17" i="3003" s="1"/>
  <c r="C43" i="3002"/>
  <c r="K43" i="3002" s="1"/>
  <c r="M43" i="3002" s="1"/>
  <c r="C29" i="3002"/>
  <c r="C43" i="3001"/>
  <c r="K43" i="3001" s="1"/>
  <c r="M43" i="3001" s="1"/>
  <c r="C29" i="3001"/>
  <c r="N16" i="3001"/>
  <c r="O16" i="3001" s="1"/>
  <c r="P16" i="3001" s="1"/>
  <c r="P23" i="3001" s="1"/>
  <c r="C43" i="3000"/>
  <c r="K43" i="3000" s="1"/>
  <c r="M43" i="3000" s="1"/>
  <c r="C29" i="3000"/>
  <c r="L23" i="3000"/>
  <c r="C43" i="2999"/>
  <c r="K43" i="2999" s="1"/>
  <c r="M43" i="2999" s="1"/>
  <c r="C29" i="2999"/>
  <c r="C43" i="2998"/>
  <c r="K43" i="2998" s="1"/>
  <c r="M43" i="2998" s="1"/>
  <c r="C29" i="2998"/>
  <c r="C43" i="2997"/>
  <c r="K43" i="2997" s="1"/>
  <c r="M43" i="2997" s="1"/>
  <c r="C29" i="2997"/>
  <c r="N18" i="2997"/>
  <c r="O18" i="2997" s="1"/>
  <c r="P18" i="2997" s="1"/>
  <c r="N17" i="2997"/>
  <c r="O17" i="2997" s="1"/>
  <c r="P17" i="2997" s="1"/>
  <c r="N16" i="2997"/>
  <c r="O16" i="2997" s="1"/>
  <c r="P16" i="2997" s="1"/>
  <c r="C43" i="2996"/>
  <c r="K43" i="2996" s="1"/>
  <c r="M43" i="2996" s="1"/>
  <c r="C29" i="2996"/>
  <c r="F44" i="2996"/>
  <c r="O30" i="2996"/>
  <c r="C43" i="2994"/>
  <c r="K43" i="2994" s="1"/>
  <c r="M43" i="2994" s="1"/>
  <c r="C29" i="2994"/>
  <c r="N16" i="2994"/>
  <c r="O16" i="2994" s="1"/>
  <c r="P16" i="2994" s="1"/>
  <c r="P23" i="2994" s="1"/>
  <c r="C43" i="2993"/>
  <c r="K43" i="2993" s="1"/>
  <c r="M43" i="2993" s="1"/>
  <c r="C29" i="2993"/>
  <c r="N17" i="2993"/>
  <c r="O17" i="2993" s="1"/>
  <c r="P17" i="2993" s="1"/>
  <c r="F44" i="2993"/>
  <c r="O30" i="2993"/>
  <c r="C43" i="2992"/>
  <c r="K43" i="2992" s="1"/>
  <c r="M43" i="2992" s="1"/>
  <c r="C29" i="2992"/>
  <c r="N18" i="2992"/>
  <c r="O18" i="2992" s="1"/>
  <c r="P18" i="2992" s="1"/>
  <c r="N17" i="2992"/>
  <c r="O17" i="2992" s="1"/>
  <c r="P17" i="2992" s="1"/>
  <c r="C43" i="2991"/>
  <c r="K43" i="2991" s="1"/>
  <c r="M43" i="2991" s="1"/>
  <c r="C29" i="2991"/>
  <c r="P23" i="2986"/>
  <c r="P23" i="2990"/>
  <c r="P23" i="2989"/>
  <c r="C43" i="2990"/>
  <c r="K43" i="2990" s="1"/>
  <c r="M43" i="2990" s="1"/>
  <c r="C29" i="2990"/>
  <c r="C43" i="2989"/>
  <c r="K43" i="2989" s="1"/>
  <c r="M43" i="2989" s="1"/>
  <c r="C29" i="2989"/>
  <c r="C43" i="2988"/>
  <c r="K43" i="2988" s="1"/>
  <c r="M43" i="2988" s="1"/>
  <c r="C29" i="2988"/>
  <c r="C43" i="2987"/>
  <c r="K43" i="2987" s="1"/>
  <c r="M43" i="2987" s="1"/>
  <c r="C29" i="2987"/>
  <c r="C43" i="2986"/>
  <c r="K43" i="2986" s="1"/>
  <c r="M43" i="2986" s="1"/>
  <c r="C29" i="2986"/>
  <c r="C43" i="2985"/>
  <c r="K43" i="2985" s="1"/>
  <c r="M43" i="2985" s="1"/>
  <c r="C29" i="2985"/>
  <c r="N16" i="2985"/>
  <c r="O16" i="2985" s="1"/>
  <c r="P16" i="2985" s="1"/>
  <c r="P23" i="2985" s="1"/>
  <c r="C43" i="2984"/>
  <c r="K43" i="2984" s="1"/>
  <c r="M43" i="2984" s="1"/>
  <c r="C29" i="2984"/>
  <c r="N17" i="2984"/>
  <c r="O17" i="2984" s="1"/>
  <c r="P17" i="2984" s="1"/>
  <c r="C43" i="2983"/>
  <c r="K43" i="2983" s="1"/>
  <c r="M43" i="2983" s="1"/>
  <c r="C29" i="2983"/>
  <c r="C43" i="2982"/>
  <c r="K43" i="2982" s="1"/>
  <c r="M43" i="2982" s="1"/>
  <c r="C29" i="2982"/>
  <c r="C43" i="2981"/>
  <c r="K43" i="2981" s="1"/>
  <c r="M43" i="2981" s="1"/>
  <c r="C29" i="2981"/>
  <c r="H23" i="2971"/>
  <c r="H23" i="2980"/>
  <c r="C36" i="2971"/>
  <c r="G29" i="2971"/>
  <c r="E36" i="2971" s="1"/>
  <c r="G36" i="2971" s="1"/>
  <c r="N43" i="2971" s="1"/>
  <c r="P23" i="2980"/>
  <c r="H43" i="2971"/>
  <c r="K43" i="2971" s="1"/>
  <c r="M43" i="2971" s="1"/>
  <c r="P23" i="2978"/>
  <c r="C36" i="2980"/>
  <c r="G29" i="2980"/>
  <c r="E36" i="2980" s="1"/>
  <c r="C43" i="2980"/>
  <c r="K43" i="2980" s="1"/>
  <c r="M43" i="2980" s="1"/>
  <c r="C36" i="2979"/>
  <c r="G29" i="2979"/>
  <c r="E36" i="2979" s="1"/>
  <c r="G36" i="2979" s="1"/>
  <c r="N43" i="2979" s="1"/>
  <c r="C43" i="2979"/>
  <c r="K43" i="2979" s="1"/>
  <c r="M43" i="2979" s="1"/>
  <c r="G29" i="2978"/>
  <c r="E36" i="2978" s="1"/>
  <c r="C36" i="2978"/>
  <c r="C43" i="2978"/>
  <c r="K43" i="2978" s="1"/>
  <c r="M43" i="2978" s="1"/>
  <c r="G36" i="3009" l="1"/>
  <c r="N43" i="3009" s="1"/>
  <c r="P23" i="2997"/>
  <c r="C36" i="3006"/>
  <c r="G29" i="3006"/>
  <c r="E36" i="3006" s="1"/>
  <c r="G36" i="3006" s="1"/>
  <c r="N43" i="3006" s="1"/>
  <c r="C36" i="3005"/>
  <c r="G29" i="3005"/>
  <c r="E36" i="3005" s="1"/>
  <c r="G36" i="3005" s="1"/>
  <c r="N43" i="3005" s="1"/>
  <c r="C36" i="3004"/>
  <c r="G29" i="3004"/>
  <c r="E36" i="3004" s="1"/>
  <c r="G36" i="3004" s="1"/>
  <c r="N43" i="3004" s="1"/>
  <c r="C36" i="3003"/>
  <c r="G29" i="3003"/>
  <c r="E36" i="3003" s="1"/>
  <c r="G36" i="3003" s="1"/>
  <c r="N43" i="3003" s="1"/>
  <c r="C36" i="3002"/>
  <c r="G29" i="3002"/>
  <c r="E36" i="3002" s="1"/>
  <c r="G36" i="3002" s="1"/>
  <c r="N43" i="3002" s="1"/>
  <c r="C36" i="3001"/>
  <c r="G29" i="3001"/>
  <c r="E36" i="3001" s="1"/>
  <c r="G36" i="3001" s="1"/>
  <c r="N43" i="3001" s="1"/>
  <c r="H44" i="3000"/>
  <c r="C36" i="3000"/>
  <c r="G29" i="3000"/>
  <c r="E36" i="3000" s="1"/>
  <c r="G36" i="3000" s="1"/>
  <c r="N43" i="3000" s="1"/>
  <c r="C36" i="2999"/>
  <c r="G29" i="2999"/>
  <c r="E36" i="2999" s="1"/>
  <c r="G36" i="2999" s="1"/>
  <c r="N43" i="2999" s="1"/>
  <c r="C36" i="2998"/>
  <c r="G29" i="2998"/>
  <c r="E36" i="2998" s="1"/>
  <c r="G36" i="2998" s="1"/>
  <c r="N43" i="2998" s="1"/>
  <c r="C36" i="2997"/>
  <c r="G29" i="2997"/>
  <c r="E36" i="2997" s="1"/>
  <c r="G36" i="2997" s="1"/>
  <c r="N43" i="2997" s="1"/>
  <c r="C36" i="2996"/>
  <c r="G29" i="2996"/>
  <c r="E36" i="2996" s="1"/>
  <c r="G36" i="2996" s="1"/>
  <c r="N43" i="2996" s="1"/>
  <c r="C36" i="2994"/>
  <c r="G29" i="2994"/>
  <c r="E36" i="2994" s="1"/>
  <c r="G36" i="2994" s="1"/>
  <c r="N43" i="2994" s="1"/>
  <c r="C36" i="2993"/>
  <c r="G29" i="2993"/>
  <c r="E36" i="2993" s="1"/>
  <c r="G36" i="2993" s="1"/>
  <c r="N43" i="2993" s="1"/>
  <c r="C36" i="2992"/>
  <c r="G29" i="2992"/>
  <c r="E36" i="2992" s="1"/>
  <c r="G36" i="2992" s="1"/>
  <c r="N43" i="2992" s="1"/>
  <c r="C36" i="2991"/>
  <c r="G29" i="2991"/>
  <c r="E36" i="2991" s="1"/>
  <c r="G36" i="2991" s="1"/>
  <c r="N43" i="2991" s="1"/>
  <c r="C36" i="2990"/>
  <c r="G29" i="2990"/>
  <c r="E36" i="2990" s="1"/>
  <c r="G36" i="2990" s="1"/>
  <c r="N43" i="2990" s="1"/>
  <c r="C36" i="2989"/>
  <c r="G29" i="2989"/>
  <c r="E36" i="2989" s="1"/>
  <c r="G36" i="2989" s="1"/>
  <c r="N43" i="2989" s="1"/>
  <c r="C36" i="2988"/>
  <c r="G29" i="2988"/>
  <c r="E36" i="2988" s="1"/>
  <c r="G36" i="2988" s="1"/>
  <c r="N43" i="2988" s="1"/>
  <c r="C36" i="2987"/>
  <c r="G29" i="2987"/>
  <c r="E36" i="2987" s="1"/>
  <c r="G36" i="2987" s="1"/>
  <c r="N43" i="2987" s="1"/>
  <c r="C36" i="2986"/>
  <c r="G29" i="2986"/>
  <c r="E36" i="2986" s="1"/>
  <c r="G36" i="2986" s="1"/>
  <c r="N43" i="2986" s="1"/>
  <c r="C36" i="2985"/>
  <c r="G29" i="2985"/>
  <c r="E36" i="2985" s="1"/>
  <c r="G36" i="2985" s="1"/>
  <c r="N43" i="2985" s="1"/>
  <c r="C36" i="2984"/>
  <c r="G29" i="2984"/>
  <c r="E36" i="2984" s="1"/>
  <c r="G36" i="2984" s="1"/>
  <c r="N43" i="2984" s="1"/>
  <c r="C36" i="2983"/>
  <c r="G29" i="2983"/>
  <c r="E36" i="2983" s="1"/>
  <c r="G36" i="2983" s="1"/>
  <c r="N43" i="2983" s="1"/>
  <c r="C36" i="2982"/>
  <c r="G29" i="2982"/>
  <c r="E36" i="2982" s="1"/>
  <c r="G36" i="2982" s="1"/>
  <c r="N43" i="2982" s="1"/>
  <c r="C36" i="2981"/>
  <c r="G29" i="2981"/>
  <c r="E36" i="2981" s="1"/>
  <c r="G36" i="2981" s="1"/>
  <c r="N43" i="2981" s="1"/>
  <c r="G36" i="2978"/>
  <c r="N43" i="2978" s="1"/>
  <c r="G36" i="2980"/>
  <c r="N43" i="2980" s="1"/>
  <c r="T38" i="2977"/>
  <c r="T42" i="2975"/>
  <c r="F44" i="2977"/>
  <c r="F43" i="2977"/>
  <c r="O30" i="2977"/>
  <c r="O29" i="2977"/>
  <c r="L23" i="2977"/>
  <c r="H44" i="2977" s="1"/>
  <c r="D23" i="2977"/>
  <c r="H43" i="2977" s="1"/>
  <c r="P22" i="2977"/>
  <c r="O22" i="2977"/>
  <c r="N22" i="2977"/>
  <c r="H22" i="2977"/>
  <c r="G22" i="2977"/>
  <c r="F22" i="2977"/>
  <c r="P21" i="2977"/>
  <c r="O21" i="2977"/>
  <c r="N21" i="2977"/>
  <c r="H21" i="2977"/>
  <c r="G21" i="2977"/>
  <c r="F21" i="2977"/>
  <c r="P20" i="2977"/>
  <c r="O20" i="2977"/>
  <c r="N20" i="2977"/>
  <c r="H20" i="2977"/>
  <c r="G20" i="2977"/>
  <c r="F20" i="2977"/>
  <c r="P19" i="2977"/>
  <c r="O19" i="2977"/>
  <c r="N19" i="2977"/>
  <c r="H19" i="2977"/>
  <c r="G19" i="2977"/>
  <c r="F19" i="2977"/>
  <c r="P18" i="2977"/>
  <c r="O18" i="2977"/>
  <c r="N18" i="2977"/>
  <c r="H18" i="2977"/>
  <c r="G18" i="2977"/>
  <c r="F18" i="2977"/>
  <c r="H17" i="2977"/>
  <c r="G17" i="2977"/>
  <c r="F17" i="2977"/>
  <c r="H16" i="2977"/>
  <c r="G16" i="2977"/>
  <c r="F16" i="2977"/>
  <c r="F44" i="2976"/>
  <c r="F43" i="2976"/>
  <c r="O30" i="2976"/>
  <c r="O29" i="2976"/>
  <c r="L23" i="2976"/>
  <c r="H44" i="2976" s="1"/>
  <c r="D23" i="2976"/>
  <c r="H43" i="2976" s="1"/>
  <c r="P22" i="2976"/>
  <c r="O22" i="2976"/>
  <c r="N22" i="2976"/>
  <c r="H22" i="2976"/>
  <c r="G22" i="2976"/>
  <c r="F22" i="2976"/>
  <c r="P21" i="2976"/>
  <c r="O21" i="2976"/>
  <c r="N21" i="2976"/>
  <c r="H21" i="2976"/>
  <c r="G21" i="2976"/>
  <c r="F21" i="2976"/>
  <c r="P20" i="2976"/>
  <c r="O20" i="2976"/>
  <c r="N20" i="2976"/>
  <c r="H20" i="2976"/>
  <c r="G20" i="2976"/>
  <c r="F20" i="2976"/>
  <c r="P19" i="2976"/>
  <c r="O19" i="2976"/>
  <c r="N19" i="2976"/>
  <c r="H19" i="2976"/>
  <c r="G19" i="2976"/>
  <c r="F19" i="2976"/>
  <c r="P18" i="2976"/>
  <c r="O18" i="2976"/>
  <c r="N18" i="2976"/>
  <c r="H18" i="2976"/>
  <c r="G18" i="2976"/>
  <c r="F18" i="2976"/>
  <c r="P17" i="2976"/>
  <c r="O17" i="2976"/>
  <c r="N17" i="2976"/>
  <c r="H17" i="2976"/>
  <c r="G17" i="2976"/>
  <c r="F17" i="2976"/>
  <c r="P16" i="2976"/>
  <c r="O16" i="2976"/>
  <c r="N16" i="2976"/>
  <c r="H16" i="2976"/>
  <c r="G16" i="2976"/>
  <c r="F16" i="2976"/>
  <c r="F44" i="2975"/>
  <c r="F43" i="2975"/>
  <c r="O30" i="2975"/>
  <c r="O29" i="2975"/>
  <c r="L23" i="2975"/>
  <c r="H44" i="2975" s="1"/>
  <c r="D23" i="2975"/>
  <c r="H43" i="2975" s="1"/>
  <c r="P22" i="2975"/>
  <c r="O22" i="2975"/>
  <c r="N22" i="2975"/>
  <c r="H22" i="2975"/>
  <c r="G22" i="2975"/>
  <c r="F22" i="2975"/>
  <c r="P21" i="2975"/>
  <c r="O21" i="2975"/>
  <c r="N21" i="2975"/>
  <c r="H21" i="2975"/>
  <c r="G21" i="2975"/>
  <c r="F21" i="2975"/>
  <c r="P20" i="2975"/>
  <c r="O20" i="2975"/>
  <c r="N20" i="2975"/>
  <c r="H20" i="2975"/>
  <c r="G20" i="2975"/>
  <c r="F20" i="2975"/>
  <c r="P19" i="2975"/>
  <c r="O19" i="2975"/>
  <c r="N19" i="2975"/>
  <c r="H19" i="2975"/>
  <c r="G19" i="2975"/>
  <c r="F19" i="2975"/>
  <c r="P18" i="2975"/>
  <c r="O18" i="2975"/>
  <c r="N18" i="2975"/>
  <c r="H18" i="2975"/>
  <c r="G18" i="2975"/>
  <c r="F18" i="2975"/>
  <c r="P17" i="2975"/>
  <c r="O17" i="2975"/>
  <c r="N17" i="2975"/>
  <c r="H17" i="2975"/>
  <c r="G17" i="2975"/>
  <c r="F17" i="2975"/>
  <c r="H16" i="2975"/>
  <c r="H23" i="2975" s="1"/>
  <c r="G16" i="2975"/>
  <c r="F16" i="2975"/>
  <c r="F44" i="2974"/>
  <c r="F43" i="2974"/>
  <c r="O30" i="2974"/>
  <c r="O29" i="2974"/>
  <c r="L23" i="2974"/>
  <c r="H44" i="2974" s="1"/>
  <c r="D23" i="2974"/>
  <c r="H43" i="2974" s="1"/>
  <c r="P22" i="2974"/>
  <c r="O22" i="2974"/>
  <c r="N22" i="2974"/>
  <c r="H22" i="2974"/>
  <c r="G22" i="2974"/>
  <c r="F22" i="2974"/>
  <c r="P21" i="2974"/>
  <c r="O21" i="2974"/>
  <c r="N21" i="2974"/>
  <c r="H21" i="2974"/>
  <c r="G21" i="2974"/>
  <c r="F21" i="2974"/>
  <c r="P20" i="2974"/>
  <c r="O20" i="2974"/>
  <c r="N20" i="2974"/>
  <c r="H20" i="2974"/>
  <c r="G20" i="2974"/>
  <c r="F20" i="2974"/>
  <c r="P19" i="2974"/>
  <c r="O19" i="2974"/>
  <c r="N19" i="2974"/>
  <c r="H19" i="2974"/>
  <c r="G19" i="2974"/>
  <c r="F19" i="2974"/>
  <c r="P18" i="2974"/>
  <c r="O18" i="2974"/>
  <c r="N18" i="2974"/>
  <c r="H18" i="2974"/>
  <c r="G18" i="2974"/>
  <c r="F18" i="2974"/>
  <c r="P17" i="2974"/>
  <c r="O17" i="2974"/>
  <c r="N17" i="2974"/>
  <c r="H17" i="2974"/>
  <c r="G17" i="2974"/>
  <c r="F17" i="2974"/>
  <c r="H16" i="2974"/>
  <c r="G16" i="2974"/>
  <c r="F16" i="2974"/>
  <c r="F44" i="2973"/>
  <c r="F43" i="2973"/>
  <c r="O30" i="2973"/>
  <c r="O29" i="2973"/>
  <c r="L23" i="2973"/>
  <c r="H44" i="2973" s="1"/>
  <c r="D23" i="2973"/>
  <c r="H43" i="2973" s="1"/>
  <c r="P22" i="2973"/>
  <c r="O22" i="2973"/>
  <c r="N22" i="2973"/>
  <c r="H22" i="2973"/>
  <c r="G22" i="2973"/>
  <c r="F22" i="2973"/>
  <c r="P21" i="2973"/>
  <c r="O21" i="2973"/>
  <c r="N21" i="2973"/>
  <c r="H21" i="2973"/>
  <c r="G21" i="2973"/>
  <c r="F21" i="2973"/>
  <c r="P20" i="2973"/>
  <c r="O20" i="2973"/>
  <c r="N20" i="2973"/>
  <c r="H20" i="2973"/>
  <c r="G20" i="2973"/>
  <c r="F20" i="2973"/>
  <c r="P19" i="2973"/>
  <c r="O19" i="2973"/>
  <c r="N19" i="2973"/>
  <c r="H19" i="2973"/>
  <c r="G19" i="2973"/>
  <c r="F19" i="2973"/>
  <c r="P18" i="2973"/>
  <c r="O18" i="2973"/>
  <c r="N18" i="2973"/>
  <c r="H18" i="2973"/>
  <c r="G18" i="2973"/>
  <c r="F18" i="2973"/>
  <c r="P17" i="2973"/>
  <c r="O17" i="2973"/>
  <c r="N17" i="2973"/>
  <c r="H17" i="2973"/>
  <c r="G17" i="2973"/>
  <c r="F17" i="2973"/>
  <c r="H16" i="2973"/>
  <c r="G16" i="2973"/>
  <c r="F16" i="2973"/>
  <c r="F44" i="2972"/>
  <c r="F43" i="2972"/>
  <c r="O30" i="2972"/>
  <c r="O29" i="2972"/>
  <c r="L23" i="2972"/>
  <c r="H44" i="2972" s="1"/>
  <c r="D23" i="2972"/>
  <c r="H43" i="2972" s="1"/>
  <c r="P22" i="2972"/>
  <c r="O22" i="2972"/>
  <c r="N22" i="2972"/>
  <c r="H22" i="2972"/>
  <c r="G22" i="2972"/>
  <c r="F22" i="2972"/>
  <c r="P21" i="2972"/>
  <c r="O21" i="2972"/>
  <c r="N21" i="2972"/>
  <c r="H21" i="2972"/>
  <c r="G21" i="2972"/>
  <c r="F21" i="2972"/>
  <c r="P20" i="2972"/>
  <c r="O20" i="2972"/>
  <c r="N20" i="2972"/>
  <c r="H20" i="2972"/>
  <c r="G20" i="2972"/>
  <c r="F20" i="2972"/>
  <c r="P19" i="2972"/>
  <c r="O19" i="2972"/>
  <c r="N19" i="2972"/>
  <c r="H19" i="2972"/>
  <c r="G19" i="2972"/>
  <c r="F19" i="2972"/>
  <c r="P18" i="2972"/>
  <c r="O18" i="2972"/>
  <c r="N18" i="2972"/>
  <c r="H18" i="2972"/>
  <c r="G18" i="2972"/>
  <c r="F18" i="2972"/>
  <c r="P17" i="2972"/>
  <c r="O17" i="2972"/>
  <c r="N17" i="2972"/>
  <c r="H17" i="2972"/>
  <c r="G17" i="2972"/>
  <c r="F17" i="2972"/>
  <c r="H16" i="2972"/>
  <c r="G16" i="2972"/>
  <c r="F16" i="2972"/>
  <c r="F44" i="2970"/>
  <c r="F43" i="2970"/>
  <c r="O30" i="2970"/>
  <c r="O29" i="2970"/>
  <c r="L23" i="2970"/>
  <c r="H44" i="2970" s="1"/>
  <c r="D23" i="2970"/>
  <c r="H43" i="2970" s="1"/>
  <c r="P22" i="2970"/>
  <c r="O22" i="2970"/>
  <c r="N22" i="2970"/>
  <c r="H22" i="2970"/>
  <c r="G22" i="2970"/>
  <c r="F22" i="2970"/>
  <c r="P21" i="2970"/>
  <c r="O21" i="2970"/>
  <c r="N21" i="2970"/>
  <c r="H21" i="2970"/>
  <c r="G21" i="2970"/>
  <c r="F21" i="2970"/>
  <c r="P20" i="2970"/>
  <c r="O20" i="2970"/>
  <c r="N20" i="2970"/>
  <c r="H20" i="2970"/>
  <c r="G20" i="2970"/>
  <c r="F20" i="2970"/>
  <c r="P19" i="2970"/>
  <c r="O19" i="2970"/>
  <c r="N19" i="2970"/>
  <c r="H19" i="2970"/>
  <c r="G19" i="2970"/>
  <c r="F19" i="2970"/>
  <c r="P18" i="2970"/>
  <c r="O18" i="2970"/>
  <c r="N18" i="2970"/>
  <c r="H18" i="2970"/>
  <c r="G18" i="2970"/>
  <c r="F18" i="2970"/>
  <c r="P17" i="2970"/>
  <c r="O17" i="2970"/>
  <c r="N17" i="2970"/>
  <c r="H17" i="2970"/>
  <c r="G17" i="2970"/>
  <c r="F17" i="2970"/>
  <c r="H16" i="2970"/>
  <c r="G16" i="2970"/>
  <c r="F16" i="2970"/>
  <c r="H23" i="2974" l="1"/>
  <c r="H23" i="2970"/>
  <c r="H23" i="2976"/>
  <c r="P23" i="2976"/>
  <c r="H23" i="2977"/>
  <c r="H23" i="2972"/>
  <c r="H23" i="2973"/>
  <c r="N16" i="2974"/>
  <c r="O16" i="2974" s="1"/>
  <c r="P16" i="2974" s="1"/>
  <c r="P23" i="2974" s="1"/>
  <c r="N16" i="2970"/>
  <c r="O16" i="2970" s="1"/>
  <c r="P16" i="2970" s="1"/>
  <c r="P23" i="2970" s="1"/>
  <c r="E9" i="2977" l="1"/>
  <c r="E9" i="2976"/>
  <c r="E9" i="2975"/>
  <c r="E9" i="2974"/>
  <c r="E9" i="2973"/>
  <c r="E9" i="2972"/>
  <c r="E9" i="2970"/>
  <c r="N16" i="2988" l="1"/>
  <c r="O16" i="2988" s="1"/>
  <c r="P16" i="2988" s="1"/>
  <c r="P23" i="2988" s="1"/>
  <c r="C29" i="2972"/>
  <c r="C43" i="2972"/>
  <c r="K43" i="2972" s="1"/>
  <c r="M43" i="2972" s="1"/>
  <c r="C43" i="2973"/>
  <c r="K43" i="2973" s="1"/>
  <c r="M43" i="2973" s="1"/>
  <c r="C29" i="2973"/>
  <c r="C43" i="2974"/>
  <c r="K43" i="2974" s="1"/>
  <c r="M43" i="2974" s="1"/>
  <c r="C29" i="2974"/>
  <c r="C43" i="2975"/>
  <c r="K43" i="2975" s="1"/>
  <c r="M43" i="2975" s="1"/>
  <c r="C29" i="2975"/>
  <c r="C29" i="2976"/>
  <c r="C43" i="2976"/>
  <c r="K43" i="2976" s="1"/>
  <c r="M43" i="2976" s="1"/>
  <c r="C29" i="2970"/>
  <c r="C43" i="2970"/>
  <c r="K43" i="2970" s="1"/>
  <c r="M43" i="2970" s="1"/>
  <c r="C43" i="2977"/>
  <c r="K43" i="2977" s="1"/>
  <c r="M43" i="2977" s="1"/>
  <c r="C29" i="2977"/>
  <c r="C36" i="2974" l="1"/>
  <c r="C36" i="2973"/>
  <c r="C36" i="2976"/>
  <c r="C36" i="2972"/>
  <c r="C36" i="2970"/>
  <c r="C36" i="2977"/>
  <c r="C36" i="2975"/>
  <c r="G9" i="2976" l="1"/>
  <c r="E29" i="2976" s="1"/>
  <c r="G29" i="2976" s="1"/>
  <c r="E36" i="2976" s="1"/>
  <c r="G36" i="2976" s="1"/>
  <c r="N43" i="2976" s="1"/>
  <c r="G9" i="2975"/>
  <c r="E29" i="2975" s="1"/>
  <c r="G29" i="2975" s="1"/>
  <c r="E36" i="2975" s="1"/>
  <c r="G36" i="2975" s="1"/>
  <c r="N43" i="2975" s="1"/>
  <c r="G9" i="2974"/>
  <c r="E29" i="2974" s="1"/>
  <c r="G29" i="2974" s="1"/>
  <c r="E36" i="2974" s="1"/>
  <c r="G36" i="2974" s="1"/>
  <c r="N43" i="2974" s="1"/>
  <c r="G9" i="2973"/>
  <c r="E29" i="2973" s="1"/>
  <c r="G29" i="2973" s="1"/>
  <c r="E36" i="2973" s="1"/>
  <c r="G36" i="2973" s="1"/>
  <c r="N43" i="2973" s="1"/>
  <c r="G9" i="2972"/>
  <c r="E29" i="2972" s="1"/>
  <c r="G29" i="2972" s="1"/>
  <c r="E36" i="2972" s="1"/>
  <c r="G36" i="2972" s="1"/>
  <c r="N43" i="2972" s="1"/>
  <c r="G9" i="2970"/>
  <c r="E29" i="2970" s="1"/>
  <c r="G29" i="2970" s="1"/>
  <c r="E36" i="2970" s="1"/>
  <c r="G36" i="2970" s="1"/>
  <c r="N43" i="2970" s="1"/>
  <c r="G9" i="2977"/>
  <c r="E29" i="2977" s="1"/>
  <c r="G29" i="2977" s="1"/>
  <c r="E36" i="2977" s="1"/>
  <c r="G36" i="2977" s="1"/>
  <c r="N43" i="2977" s="1"/>
  <c r="E10" i="2970" l="1"/>
  <c r="G10" i="2970"/>
  <c r="E30" i="2970" s="1"/>
  <c r="C44" i="2970" l="1"/>
  <c r="K44" i="2970" s="1"/>
  <c r="E10" i="2971" s="1"/>
  <c r="C30" i="2970"/>
  <c r="C44" i="2971" l="1"/>
  <c r="K44" i="2971" s="1"/>
  <c r="M44" i="2971" s="1"/>
  <c r="C30" i="2971"/>
  <c r="C37" i="2971" s="1"/>
  <c r="G30" i="2970"/>
  <c r="E37" i="2970" s="1"/>
  <c r="C37" i="2970"/>
  <c r="M44" i="2970"/>
  <c r="G37" i="2970" l="1"/>
  <c r="N44" i="2970" s="1"/>
  <c r="G10" i="2971" s="1"/>
  <c r="N16" i="2971" l="1"/>
  <c r="O16" i="2971" s="1"/>
  <c r="P16" i="2971" s="1"/>
  <c r="P23" i="2971" s="1"/>
  <c r="E30" i="2971"/>
  <c r="G30" i="2971" s="1"/>
  <c r="E37" i="2971" s="1"/>
  <c r="G37" i="2971" s="1"/>
  <c r="N44" i="2971" s="1"/>
  <c r="G10" i="2972"/>
  <c r="E10" i="2972"/>
  <c r="C44" i="2972" l="1"/>
  <c r="K44" i="2972" s="1"/>
  <c r="C30" i="2972"/>
  <c r="C37" i="2972" s="1"/>
  <c r="E30" i="2972"/>
  <c r="N16" i="2972"/>
  <c r="O16" i="2972" s="1"/>
  <c r="P16" i="2972" s="1"/>
  <c r="P23" i="2972" s="1"/>
  <c r="G30" i="2972" l="1"/>
  <c r="E37" i="2972" s="1"/>
  <c r="G37" i="2972" s="1"/>
  <c r="N44" i="2972" s="1"/>
  <c r="G10" i="2973" s="1"/>
  <c r="E30" i="2973" s="1"/>
  <c r="M44" i="2972"/>
  <c r="E10" i="2973"/>
  <c r="N16" i="2973" l="1"/>
  <c r="O16" i="2973" s="1"/>
  <c r="P16" i="2973" s="1"/>
  <c r="P23" i="2973" s="1"/>
  <c r="C44" i="2973"/>
  <c r="K44" i="2973" s="1"/>
  <c r="C30" i="2973"/>
  <c r="C37" i="2973" l="1"/>
  <c r="G30" i="2973"/>
  <c r="E37" i="2973" s="1"/>
  <c r="G37" i="2973" s="1"/>
  <c r="N44" i="2973" s="1"/>
  <c r="G10" i="2974" s="1"/>
  <c r="E30" i="2974" s="1"/>
  <c r="M44" i="2973"/>
  <c r="E10" i="2974"/>
  <c r="C44" i="2974" l="1"/>
  <c r="K44" i="2974" s="1"/>
  <c r="C30" i="2974"/>
  <c r="C37" i="2974" l="1"/>
  <c r="G30" i="2974"/>
  <c r="E37" i="2974" s="1"/>
  <c r="G37" i="2974" s="1"/>
  <c r="N44" i="2974" s="1"/>
  <c r="G10" i="2975" s="1"/>
  <c r="M44" i="2974"/>
  <c r="E10" i="2975"/>
  <c r="C44" i="2975" l="1"/>
  <c r="K44" i="2975" s="1"/>
  <c r="C30" i="2975"/>
  <c r="E30" i="2975"/>
  <c r="N16" i="2975"/>
  <c r="O16" i="2975" s="1"/>
  <c r="P16" i="2975" s="1"/>
  <c r="P23" i="2975" s="1"/>
  <c r="C37" i="2975" l="1"/>
  <c r="G30" i="2975"/>
  <c r="E37" i="2975" s="1"/>
  <c r="G37" i="2975" s="1"/>
  <c r="N44" i="2975" s="1"/>
  <c r="G10" i="2976" s="1"/>
  <c r="E30" i="2976" s="1"/>
  <c r="M44" i="2975"/>
  <c r="E10" i="2976"/>
  <c r="C44" i="2976" l="1"/>
  <c r="K44" i="2976" s="1"/>
  <c r="C30" i="2976"/>
  <c r="C37" i="2976" l="1"/>
  <c r="G30" i="2976"/>
  <c r="E37" i="2976" s="1"/>
  <c r="G37" i="2976" s="1"/>
  <c r="N44" i="2976" s="1"/>
  <c r="G10" i="2977" s="1"/>
  <c r="N17" i="2977" s="1"/>
  <c r="O17" i="2977" s="1"/>
  <c r="P17" i="2977" s="1"/>
  <c r="M44" i="2976"/>
  <c r="E10" i="2977"/>
  <c r="C44" i="2977" l="1"/>
  <c r="K44" i="2977" s="1"/>
  <c r="C30" i="2977"/>
  <c r="N16" i="2977"/>
  <c r="O16" i="2977" s="1"/>
  <c r="P16" i="2977" s="1"/>
  <c r="P23" i="2977" s="1"/>
  <c r="E30" i="2977"/>
  <c r="M44" i="2977" l="1"/>
  <c r="E10" i="2978"/>
  <c r="C37" i="2977"/>
  <c r="G30" i="2977"/>
  <c r="E37" i="2977" s="1"/>
  <c r="G37" i="2977" s="1"/>
  <c r="N44" i="2977" s="1"/>
  <c r="G10" i="2978" s="1"/>
  <c r="E30" i="2978" s="1"/>
  <c r="C30" i="2978" l="1"/>
  <c r="C44" i="2978"/>
  <c r="K44" i="2978" s="1"/>
  <c r="M44" i="2978" l="1"/>
  <c r="E10" i="2979"/>
  <c r="C37" i="2978"/>
  <c r="G30" i="2978"/>
  <c r="E37" i="2978" s="1"/>
  <c r="G37" i="2978" s="1"/>
  <c r="N44" i="2978" s="1"/>
  <c r="G10" i="2979" s="1"/>
  <c r="N16" i="2979" l="1"/>
  <c r="O16" i="2979" s="1"/>
  <c r="P16" i="2979" s="1"/>
  <c r="P23" i="2979" s="1"/>
  <c r="E30" i="2979"/>
  <c r="C44" i="2979"/>
  <c r="K44" i="2979" s="1"/>
  <c r="C30" i="2979"/>
  <c r="G30" i="2979" l="1"/>
  <c r="E37" i="2979" s="1"/>
  <c r="C37" i="2979"/>
  <c r="M44" i="2979"/>
  <c r="E10" i="2980"/>
  <c r="G37" i="2979" l="1"/>
  <c r="N44" i="2979" s="1"/>
  <c r="G10" i="2980" s="1"/>
  <c r="E30" i="2980" s="1"/>
  <c r="C44" i="2980"/>
  <c r="K44" i="2980" s="1"/>
  <c r="C30" i="2980"/>
  <c r="M44" i="2980" l="1"/>
  <c r="E10" i="2981"/>
  <c r="G30" i="2980"/>
  <c r="E37" i="2980" s="1"/>
  <c r="C37" i="2980"/>
  <c r="C44" i="2981" l="1"/>
  <c r="K44" i="2981" s="1"/>
  <c r="C30" i="2981"/>
  <c r="C37" i="2981" s="1"/>
  <c r="G37" i="2980"/>
  <c r="N44" i="2980" s="1"/>
  <c r="G10" i="2981" s="1"/>
  <c r="E30" i="2981" s="1"/>
  <c r="G30" i="2981" s="1"/>
  <c r="E37" i="2981" s="1"/>
  <c r="G37" i="2981" s="1"/>
  <c r="N44" i="2981" s="1"/>
  <c r="G10" i="2982" s="1"/>
  <c r="M44" i="2981" l="1"/>
  <c r="E10" i="2982"/>
  <c r="N16" i="2981"/>
  <c r="O16" i="2981" s="1"/>
  <c r="P16" i="2981" s="1"/>
  <c r="N17" i="2981"/>
  <c r="O17" i="2981" s="1"/>
  <c r="P17" i="2981" s="1"/>
  <c r="P23" i="2981" s="1"/>
  <c r="E30" i="2982"/>
  <c r="N17" i="2982"/>
  <c r="O17" i="2982" s="1"/>
  <c r="P17" i="2982" s="1"/>
  <c r="N16" i="2982"/>
  <c r="O16" i="2982" s="1"/>
  <c r="P16" i="2982" s="1"/>
  <c r="P23" i="2982" s="1"/>
  <c r="C44" i="2982" l="1"/>
  <c r="K44" i="2982" s="1"/>
  <c r="C30" i="2982"/>
  <c r="C37" i="2982" l="1"/>
  <c r="G30" i="2982"/>
  <c r="E37" i="2982" s="1"/>
  <c r="G37" i="2982" s="1"/>
  <c r="N44" i="2982" s="1"/>
  <c r="G10" i="2983" s="1"/>
  <c r="M44" i="2982"/>
  <c r="E10" i="2983"/>
  <c r="C44" i="2983" l="1"/>
  <c r="K44" i="2983" s="1"/>
  <c r="C30" i="2983"/>
  <c r="C37" i="2983" s="1"/>
  <c r="E30" i="2983"/>
  <c r="G30" i="2983" s="1"/>
  <c r="E37" i="2983" s="1"/>
  <c r="G37" i="2983" s="1"/>
  <c r="N44" i="2983" s="1"/>
  <c r="G10" i="2984" s="1"/>
  <c r="N16" i="2983"/>
  <c r="O16" i="2983" s="1"/>
  <c r="P16" i="2983" s="1"/>
  <c r="N17" i="2983"/>
  <c r="O17" i="2983" s="1"/>
  <c r="P17" i="2983" s="1"/>
  <c r="P23" i="2983" l="1"/>
  <c r="E30" i="2984"/>
  <c r="N16" i="2984"/>
  <c r="O16" i="2984" s="1"/>
  <c r="P16" i="2984" s="1"/>
  <c r="P23" i="2984" s="1"/>
  <c r="M44" i="2983"/>
  <c r="E10" i="2984"/>
  <c r="C44" i="2984" l="1"/>
  <c r="K44" i="2984" s="1"/>
  <c r="C30" i="2984"/>
  <c r="C37" i="2984" s="1"/>
  <c r="G30" i="2984"/>
  <c r="E37" i="2984" s="1"/>
  <c r="G37" i="2984" s="1"/>
  <c r="N44" i="2984" s="1"/>
  <c r="G10" i="2985" s="1"/>
  <c r="E30" i="2985" s="1"/>
  <c r="M44" i="2984" l="1"/>
  <c r="E10" i="2985"/>
  <c r="C44" i="2985" l="1"/>
  <c r="K44" i="2985" s="1"/>
  <c r="C30" i="2985"/>
  <c r="C37" i="2985" l="1"/>
  <c r="G30" i="2985"/>
  <c r="E37" i="2985" s="1"/>
  <c r="G37" i="2985" s="1"/>
  <c r="N44" i="2985" s="1"/>
  <c r="G10" i="2986" s="1"/>
  <c r="E30" i="2986" s="1"/>
  <c r="M44" i="2985"/>
  <c r="E10" i="2986"/>
  <c r="C44" i="2986" l="1"/>
  <c r="K44" i="2986" s="1"/>
  <c r="C30" i="2986"/>
  <c r="C37" i="2986" s="1"/>
  <c r="G30" i="2986"/>
  <c r="E37" i="2986" s="1"/>
  <c r="G37" i="2986" s="1"/>
  <c r="N44" i="2986" s="1"/>
  <c r="G10" i="2987" s="1"/>
  <c r="N16" i="2987" l="1"/>
  <c r="O16" i="2987" s="1"/>
  <c r="P16" i="2987" s="1"/>
  <c r="P23" i="2987" s="1"/>
  <c r="E30" i="2987"/>
  <c r="M44" i="2986"/>
  <c r="E10" i="2987"/>
  <c r="C44" i="2987" l="1"/>
  <c r="K44" i="2987" s="1"/>
  <c r="C30" i="2987"/>
  <c r="C37" i="2987" s="1"/>
  <c r="G30" i="2987"/>
  <c r="E37" i="2987" s="1"/>
  <c r="G37" i="2987" s="1"/>
  <c r="N44" i="2987" s="1"/>
  <c r="G10" i="2988" s="1"/>
  <c r="E30" i="2988" s="1"/>
  <c r="E10" i="2988" l="1"/>
  <c r="M44" i="2987"/>
  <c r="C44" i="2988" l="1"/>
  <c r="K44" i="2988" s="1"/>
  <c r="C30" i="2988"/>
  <c r="C37" i="2988" l="1"/>
  <c r="G30" i="2988"/>
  <c r="E37" i="2988" s="1"/>
  <c r="G37" i="2988" s="1"/>
  <c r="N44" i="2988" s="1"/>
  <c r="G10" i="2989" s="1"/>
  <c r="E30" i="2989" s="1"/>
  <c r="M44" i="2988"/>
  <c r="E10" i="2989"/>
  <c r="C44" i="2989" l="1"/>
  <c r="K44" i="2989" s="1"/>
  <c r="C30" i="2989"/>
  <c r="C37" i="2989" s="1"/>
  <c r="G30" i="2989"/>
  <c r="E37" i="2989" s="1"/>
  <c r="G37" i="2989" s="1"/>
  <c r="N44" i="2989" s="1"/>
  <c r="G10" i="2990" s="1"/>
  <c r="E30" i="2990" s="1"/>
  <c r="M44" i="2989" l="1"/>
  <c r="E10" i="2990"/>
  <c r="C44" i="2990" l="1"/>
  <c r="K44" i="2990" s="1"/>
  <c r="C30" i="2990"/>
  <c r="M44" i="2990" l="1"/>
  <c r="E10" i="2991"/>
  <c r="C37" i="2990"/>
  <c r="G30" i="2990"/>
  <c r="E37" i="2990" s="1"/>
  <c r="G37" i="2990" s="1"/>
  <c r="N44" i="2990" s="1"/>
  <c r="G10" i="2991" s="1"/>
  <c r="N18" i="2991" l="1"/>
  <c r="O18" i="2991" s="1"/>
  <c r="P18" i="2991" s="1"/>
  <c r="N17" i="2991"/>
  <c r="O17" i="2991" s="1"/>
  <c r="P17" i="2991" s="1"/>
  <c r="N16" i="2991"/>
  <c r="O16" i="2991" s="1"/>
  <c r="P16" i="2991" s="1"/>
  <c r="P23" i="2991" s="1"/>
  <c r="E30" i="2991"/>
  <c r="C44" i="2991"/>
  <c r="K44" i="2991" s="1"/>
  <c r="C30" i="2991"/>
  <c r="C37" i="2991" l="1"/>
  <c r="G30" i="2991"/>
  <c r="E37" i="2991" s="1"/>
  <c r="G37" i="2991" s="1"/>
  <c r="N44" i="2991" s="1"/>
  <c r="G10" i="2992" s="1"/>
  <c r="M44" i="2991"/>
  <c r="E10" i="2992"/>
  <c r="C44" i="2992" l="1"/>
  <c r="K44" i="2992" s="1"/>
  <c r="C30" i="2992"/>
  <c r="E30" i="2992"/>
  <c r="N16" i="2992"/>
  <c r="O16" i="2992" s="1"/>
  <c r="P16" i="2992" s="1"/>
  <c r="P23" i="2992" s="1"/>
  <c r="C37" i="2992" l="1"/>
  <c r="G30" i="2992"/>
  <c r="E37" i="2992" s="1"/>
  <c r="G37" i="2992" s="1"/>
  <c r="N44" i="2992" s="1"/>
  <c r="G10" i="2993" s="1"/>
  <c r="M44" i="2992"/>
  <c r="E10" i="2993"/>
  <c r="C44" i="2993" l="1"/>
  <c r="K44" i="2993" s="1"/>
  <c r="C30" i="2993"/>
  <c r="E30" i="2993"/>
  <c r="N16" i="2993"/>
  <c r="O16" i="2993" s="1"/>
  <c r="P16" i="2993" s="1"/>
  <c r="P23" i="2993" s="1"/>
  <c r="C37" i="2993" l="1"/>
  <c r="G30" i="2993"/>
  <c r="E37" i="2993" s="1"/>
  <c r="G37" i="2993" s="1"/>
  <c r="N44" i="2993" s="1"/>
  <c r="G10" i="2994" s="1"/>
  <c r="E30" i="2994" s="1"/>
  <c r="M44" i="2993"/>
  <c r="E10" i="2994"/>
  <c r="C44" i="2994" l="1"/>
  <c r="K44" i="2994" s="1"/>
  <c r="C30" i="2994"/>
  <c r="C37" i="2994" l="1"/>
  <c r="G30" i="2994"/>
  <c r="E37" i="2994" s="1"/>
  <c r="G37" i="2994" s="1"/>
  <c r="N44" i="2994" s="1"/>
  <c r="G10" i="2996" s="1"/>
  <c r="M44" i="2994"/>
  <c r="E10" i="2996"/>
  <c r="C44" i="2996" l="1"/>
  <c r="K44" i="2996" s="1"/>
  <c r="C30" i="2996"/>
  <c r="C37" i="2996" s="1"/>
  <c r="N18" i="2996"/>
  <c r="O18" i="2996" s="1"/>
  <c r="P18" i="2996" s="1"/>
  <c r="N17" i="2996"/>
  <c r="O17" i="2996" s="1"/>
  <c r="P17" i="2996" s="1"/>
  <c r="N16" i="2996"/>
  <c r="O16" i="2996" s="1"/>
  <c r="P16" i="2996" s="1"/>
  <c r="P23" i="2996" s="1"/>
  <c r="E30" i="2996"/>
  <c r="G30" i="2996" s="1"/>
  <c r="E37" i="2996" s="1"/>
  <c r="G37" i="2996" s="1"/>
  <c r="N44" i="2996" s="1"/>
  <c r="G10" i="3009" l="1"/>
  <c r="E30" i="3009" s="1"/>
  <c r="E10" i="3009"/>
  <c r="M44" i="2996"/>
  <c r="C44" i="3009" l="1"/>
  <c r="K44" i="3009" s="1"/>
  <c r="C30" i="3009"/>
  <c r="C37" i="3009" l="1"/>
  <c r="G30" i="3009"/>
  <c r="E37" i="3009" s="1"/>
  <c r="G37" i="3009" s="1"/>
  <c r="N44" i="3009" s="1"/>
  <c r="G10" i="2997" s="1"/>
  <c r="E30" i="2997" s="1"/>
  <c r="M44" i="3009"/>
  <c r="E10" i="2997"/>
  <c r="C44" i="2997" l="1"/>
  <c r="K44" i="2997" s="1"/>
  <c r="C30" i="2997"/>
  <c r="C37" i="2997" l="1"/>
  <c r="G30" i="2997"/>
  <c r="E37" i="2997" s="1"/>
  <c r="G37" i="2997" s="1"/>
  <c r="N44" i="2997" s="1"/>
  <c r="G10" i="2998" s="1"/>
  <c r="E30" i="2998" s="1"/>
  <c r="M44" i="2997"/>
  <c r="E10" i="2998"/>
  <c r="C44" i="2998" l="1"/>
  <c r="K44" i="2998" s="1"/>
  <c r="C30" i="2998"/>
  <c r="C37" i="2998" l="1"/>
  <c r="G30" i="2998"/>
  <c r="E37" i="2998" s="1"/>
  <c r="G37" i="2998" s="1"/>
  <c r="N44" i="2998" s="1"/>
  <c r="G10" i="2999" s="1"/>
  <c r="M44" i="2998"/>
  <c r="E10" i="2999"/>
  <c r="C44" i="2999" l="1"/>
  <c r="K44" i="2999" s="1"/>
  <c r="C30" i="2999"/>
  <c r="E30" i="2999"/>
  <c r="N16" i="2999"/>
  <c r="O16" i="2999" s="1"/>
  <c r="P16" i="2999" s="1"/>
  <c r="P23" i="2999" s="1"/>
  <c r="C37" i="2999" l="1"/>
  <c r="G30" i="2999"/>
  <c r="E37" i="2999" s="1"/>
  <c r="G37" i="2999" s="1"/>
  <c r="N44" i="2999" s="1"/>
  <c r="G10" i="3000" s="1"/>
  <c r="M44" i="2999"/>
  <c r="E10" i="3000"/>
  <c r="C44" i="3000" l="1"/>
  <c r="K44" i="3000" s="1"/>
  <c r="C30" i="3000"/>
  <c r="N16" i="3000"/>
  <c r="O16" i="3000" s="1"/>
  <c r="P16" i="3000" s="1"/>
  <c r="P23" i="3000" s="1"/>
  <c r="E30" i="3000"/>
  <c r="C37" i="3000" l="1"/>
  <c r="G30" i="3000"/>
  <c r="E37" i="3000" s="1"/>
  <c r="G37" i="3000" s="1"/>
  <c r="N44" i="3000" s="1"/>
  <c r="G10" i="3001" s="1"/>
  <c r="E30" i="3001" s="1"/>
  <c r="M44" i="3000"/>
  <c r="E10" i="3001"/>
  <c r="C44" i="3001" l="1"/>
  <c r="K44" i="3001" s="1"/>
  <c r="C30" i="3001"/>
  <c r="C37" i="3001" l="1"/>
  <c r="G30" i="3001"/>
  <c r="E37" i="3001" s="1"/>
  <c r="G37" i="3001" s="1"/>
  <c r="N44" i="3001" s="1"/>
  <c r="G10" i="3002" s="1"/>
  <c r="M44" i="3001"/>
  <c r="E10" i="3002"/>
  <c r="C44" i="3002" l="1"/>
  <c r="K44" i="3002" s="1"/>
  <c r="C30" i="3002"/>
  <c r="N16" i="3002"/>
  <c r="O16" i="3002" s="1"/>
  <c r="P16" i="3002" s="1"/>
  <c r="E30" i="3002"/>
  <c r="N17" i="3002"/>
  <c r="O17" i="3002" s="1"/>
  <c r="P17" i="3002" s="1"/>
  <c r="P23" i="3002" l="1"/>
  <c r="C37" i="3002"/>
  <c r="G30" i="3002"/>
  <c r="E37" i="3002" s="1"/>
  <c r="G37" i="3002" s="1"/>
  <c r="N44" i="3002" s="1"/>
  <c r="G10" i="3003" s="1"/>
  <c r="M44" i="3002"/>
  <c r="E10" i="3003"/>
  <c r="C44" i="3003" l="1"/>
  <c r="K44" i="3003" s="1"/>
  <c r="C30" i="3003"/>
  <c r="N16" i="3003"/>
  <c r="O16" i="3003" s="1"/>
  <c r="P16" i="3003" s="1"/>
  <c r="P23" i="3003" s="1"/>
  <c r="E30" i="3003"/>
  <c r="C37" i="3003" l="1"/>
  <c r="G30" i="3003"/>
  <c r="E37" i="3003" s="1"/>
  <c r="G37" i="3003" s="1"/>
  <c r="N44" i="3003" s="1"/>
  <c r="G10" i="3004" s="1"/>
  <c r="E30" i="3004" s="1"/>
  <c r="M44" i="3003"/>
  <c r="E10" i="3004"/>
  <c r="C30" i="3004" l="1"/>
  <c r="C44" i="3004"/>
  <c r="K44" i="3004" s="1"/>
  <c r="M44" i="3004" l="1"/>
  <c r="E10" i="3005"/>
  <c r="C37" i="3004"/>
  <c r="G30" i="3004"/>
  <c r="E37" i="3004" s="1"/>
  <c r="G37" i="3004" s="1"/>
  <c r="N44" i="3004" s="1"/>
  <c r="G10" i="3005" s="1"/>
  <c r="E30" i="3005" s="1"/>
  <c r="C30" i="3005" l="1"/>
  <c r="C44" i="3005"/>
  <c r="K44" i="3005" s="1"/>
  <c r="M44" i="3005" l="1"/>
  <c r="E10" i="3006"/>
  <c r="C37" i="3005"/>
  <c r="G30" i="3005"/>
  <c r="E37" i="3005" s="1"/>
  <c r="G37" i="3005" s="1"/>
  <c r="N44" i="3005" s="1"/>
  <c r="G10" i="3006" s="1"/>
  <c r="E30" i="3006" s="1"/>
  <c r="C30" i="3006" l="1"/>
  <c r="C44" i="3006"/>
  <c r="K44" i="3006" s="1"/>
  <c r="E10" i="3011" l="1"/>
  <c r="M44" i="3006"/>
  <c r="C37" i="3006"/>
  <c r="G30" i="3006"/>
  <c r="E37" i="3006" s="1"/>
  <c r="G37" i="3006" s="1"/>
  <c r="N44" i="3006" s="1"/>
  <c r="G10" i="3011" s="1"/>
  <c r="E30" i="3011" l="1"/>
  <c r="N16" i="3011"/>
  <c r="O16" i="3011" s="1"/>
  <c r="P16" i="3011" s="1"/>
  <c r="P23" i="3011" s="1"/>
  <c r="C44" i="3011"/>
  <c r="K44" i="3011" s="1"/>
  <c r="C30" i="3011"/>
  <c r="C37" i="3011" l="1"/>
  <c r="G30" i="3011"/>
  <c r="E37" i="3011" s="1"/>
  <c r="G37" i="3011" s="1"/>
  <c r="N44" i="3011" s="1"/>
  <c r="G10" i="3012" s="1"/>
  <c r="M44" i="3011"/>
  <c r="E10" i="3012"/>
  <c r="C44" i="3012" l="1"/>
  <c r="K44" i="3012" s="1"/>
  <c r="C30" i="3012"/>
  <c r="E30" i="3012"/>
  <c r="N16" i="3012"/>
  <c r="O16" i="3012" s="1"/>
  <c r="P16" i="3012" s="1"/>
  <c r="P23" i="3012" s="1"/>
  <c r="C37" i="3012" l="1"/>
  <c r="G30" i="3012"/>
  <c r="E37" i="3012" s="1"/>
  <c r="G37" i="3012" s="1"/>
  <c r="N44" i="3012" s="1"/>
  <c r="G10" i="3013" s="1"/>
  <c r="M44" i="3012"/>
  <c r="E10" i="3013"/>
  <c r="C44" i="3013" l="1"/>
  <c r="K44" i="3013" s="1"/>
  <c r="C30" i="3013"/>
  <c r="E30" i="3013"/>
  <c r="N17" i="3013"/>
  <c r="O17" i="3013" s="1"/>
  <c r="P17" i="3013" s="1"/>
  <c r="N16" i="3013"/>
  <c r="O16" i="3013" s="1"/>
  <c r="P16" i="3013" s="1"/>
  <c r="M44" i="3013" l="1"/>
  <c r="E10" i="3014"/>
  <c r="P23" i="3013"/>
  <c r="C37" i="3013"/>
  <c r="G30" i="3013"/>
  <c r="E37" i="3013" s="1"/>
  <c r="G37" i="3013" s="1"/>
  <c r="N44" i="3013" s="1"/>
  <c r="G10" i="3014" s="1"/>
  <c r="C44" i="3014" l="1"/>
  <c r="K44" i="3014" s="1"/>
  <c r="C30" i="3014"/>
  <c r="C37" i="3014" s="1"/>
  <c r="E30" i="3014"/>
  <c r="G30" i="3014" s="1"/>
  <c r="E37" i="3014" s="1"/>
  <c r="G37" i="3014" s="1"/>
  <c r="N44" i="3014" s="1"/>
  <c r="G10" i="3015" s="1"/>
  <c r="N17" i="3014"/>
  <c r="O17" i="3014" s="1"/>
  <c r="P17" i="3014" s="1"/>
  <c r="N16" i="3014"/>
  <c r="O16" i="3014" s="1"/>
  <c r="P16" i="3014" s="1"/>
  <c r="P23" i="3014" s="1"/>
  <c r="M44" i="3014" l="1"/>
  <c r="E10" i="3015"/>
  <c r="E30" i="3015"/>
  <c r="N17" i="3015"/>
  <c r="O17" i="3015" s="1"/>
  <c r="P17" i="3015" s="1"/>
  <c r="N16" i="3015"/>
  <c r="O16" i="3015" s="1"/>
  <c r="P16" i="3015" s="1"/>
  <c r="P23" i="3015" s="1"/>
  <c r="C44" i="3015" l="1"/>
  <c r="K44" i="3015" s="1"/>
  <c r="C30" i="3015"/>
  <c r="C37" i="3015" l="1"/>
  <c r="G30" i="3015"/>
  <c r="E37" i="3015" s="1"/>
  <c r="G37" i="3015" s="1"/>
  <c r="N44" i="3015" s="1"/>
  <c r="G10" i="3016" s="1"/>
  <c r="E30" i="3016" s="1"/>
  <c r="M44" i="3015"/>
  <c r="E10" i="3016"/>
  <c r="C44" i="3016" l="1"/>
  <c r="K44" i="3016" s="1"/>
  <c r="C30" i="3016"/>
  <c r="C37" i="3016" s="1"/>
  <c r="G30" i="3016"/>
  <c r="E37" i="3016" s="1"/>
  <c r="G37" i="3016" s="1"/>
  <c r="N44" i="3016" s="1"/>
  <c r="G10" i="3017" s="1"/>
  <c r="N17" i="3017" l="1"/>
  <c r="O17" i="3017" s="1"/>
  <c r="P17" i="3017" s="1"/>
  <c r="N16" i="3017"/>
  <c r="O16" i="3017" s="1"/>
  <c r="P16" i="3017" s="1"/>
  <c r="P23" i="3017" s="1"/>
  <c r="E30" i="3017"/>
  <c r="M44" i="3016"/>
  <c r="E10" i="3017"/>
  <c r="C44" i="3017" l="1"/>
  <c r="K44" i="3017" s="1"/>
  <c r="C30" i="3017"/>
  <c r="C37" i="3017" s="1"/>
  <c r="G30" i="3017"/>
  <c r="E37" i="3017" s="1"/>
  <c r="G37" i="3017" s="1"/>
  <c r="N44" i="3017" s="1"/>
  <c r="G10" i="3018" s="1"/>
  <c r="E30" i="3018" l="1"/>
  <c r="N16" i="3018"/>
  <c r="O16" i="3018" s="1"/>
  <c r="P16" i="3018" s="1"/>
  <c r="P23" i="3018" s="1"/>
  <c r="M44" i="3017"/>
  <c r="E10" i="3018"/>
  <c r="C44" i="3018" l="1"/>
  <c r="K44" i="3018" s="1"/>
  <c r="C30" i="3018"/>
  <c r="C37" i="3018" s="1"/>
  <c r="G30" i="3018"/>
  <c r="E37" i="3018" s="1"/>
  <c r="G37" i="3018" s="1"/>
  <c r="N44" i="3018" s="1"/>
  <c r="G10" i="3020" s="1"/>
  <c r="E30" i="3020" s="1"/>
  <c r="M44" i="3018" l="1"/>
  <c r="E10" i="3020"/>
  <c r="C44" i="3020" l="1"/>
  <c r="K44" i="3020" s="1"/>
  <c r="C30" i="3020"/>
  <c r="C37" i="3020" l="1"/>
  <c r="G30" i="3020"/>
  <c r="E37" i="3020" s="1"/>
  <c r="G37" i="3020" s="1"/>
  <c r="N44" i="3020" s="1"/>
  <c r="G10" i="3019" s="1"/>
  <c r="M44" i="3020"/>
  <c r="E10" i="3019"/>
  <c r="C44" i="3019" l="1"/>
  <c r="K44" i="3019" s="1"/>
  <c r="C30" i="3019"/>
  <c r="C37" i="3019" s="1"/>
  <c r="N20" i="3019"/>
  <c r="O20" i="3019" s="1"/>
  <c r="P20" i="3019" s="1"/>
  <c r="N19" i="3019"/>
  <c r="O19" i="3019" s="1"/>
  <c r="P19" i="3019" s="1"/>
  <c r="N18" i="3019"/>
  <c r="O18" i="3019" s="1"/>
  <c r="P18" i="3019" s="1"/>
  <c r="N17" i="3019"/>
  <c r="O17" i="3019" s="1"/>
  <c r="P17" i="3019" s="1"/>
  <c r="N16" i="3019"/>
  <c r="O16" i="3019" s="1"/>
  <c r="P16" i="3019" s="1"/>
  <c r="P23" i="3019" s="1"/>
  <c r="E30" i="3019"/>
  <c r="G30" i="3019" s="1"/>
  <c r="E37" i="3019" s="1"/>
  <c r="G37" i="3019" s="1"/>
  <c r="N44" i="3019" s="1"/>
  <c r="G10" i="3021" s="1"/>
  <c r="N16" i="3021" l="1"/>
  <c r="O16" i="3021" s="1"/>
  <c r="P16" i="3021" s="1"/>
  <c r="E30" i="3021"/>
  <c r="N17" i="3021"/>
  <c r="O17" i="3021" s="1"/>
  <c r="P17" i="3021" s="1"/>
  <c r="P23" i="3021" s="1"/>
  <c r="M44" i="3019"/>
  <c r="E10" i="3021"/>
  <c r="C44" i="3021" l="1"/>
  <c r="K44" i="3021" s="1"/>
  <c r="C30" i="3021"/>
  <c r="C37" i="3021" s="1"/>
  <c r="G30" i="3021"/>
  <c r="E37" i="3021" s="1"/>
  <c r="G37" i="3021" s="1"/>
  <c r="N44" i="3021" s="1"/>
  <c r="G10" i="3024" s="1"/>
  <c r="E30" i="3024" s="1"/>
  <c r="E10" i="3024" l="1"/>
  <c r="M44" i="3021"/>
  <c r="C44" i="3024" l="1"/>
  <c r="K44" i="3024" s="1"/>
  <c r="C30" i="3024"/>
  <c r="C37" i="3024" l="1"/>
  <c r="G30" i="3024"/>
  <c r="E37" i="3024" s="1"/>
  <c r="G37" i="3024" s="1"/>
  <c r="N44" i="3024" s="1"/>
  <c r="G10" i="3025" s="1"/>
  <c r="E30" i="3025" s="1"/>
  <c r="M44" i="3024"/>
  <c r="E10" i="3025"/>
  <c r="C44" i="3025" l="1"/>
  <c r="K44" i="3025" s="1"/>
  <c r="C30" i="3025"/>
  <c r="C37" i="3025" s="1"/>
  <c r="G30" i="3025"/>
  <c r="E37" i="3025" s="1"/>
  <c r="G37" i="3025" s="1"/>
  <c r="N44" i="3025" s="1"/>
  <c r="G10" i="3026" s="1"/>
  <c r="E30" i="3026" s="1"/>
  <c r="M44" i="3025" l="1"/>
  <c r="E10" i="3026"/>
  <c r="C44" i="3026" l="1"/>
  <c r="K44" i="3026" s="1"/>
  <c r="C30" i="3026"/>
  <c r="C37" i="3026" l="1"/>
  <c r="G30" i="3026"/>
  <c r="E37" i="3026" s="1"/>
  <c r="G37" i="3026" s="1"/>
  <c r="N44" i="3026" s="1"/>
  <c r="G10" i="3027" s="1"/>
  <c r="E30" i="3027" s="1"/>
  <c r="M44" i="3026"/>
  <c r="E10" i="3027"/>
  <c r="C44" i="3027" l="1"/>
  <c r="K44" i="3027" s="1"/>
  <c r="C30" i="3027"/>
  <c r="C37" i="3027" s="1"/>
  <c r="G30" i="3027"/>
  <c r="E37" i="3027" s="1"/>
  <c r="G37" i="3027" s="1"/>
  <c r="N44" i="3027" s="1"/>
  <c r="G10" i="3028" s="1"/>
  <c r="N16" i="3028" l="1"/>
  <c r="O16" i="3028" s="1"/>
  <c r="P16" i="3028" s="1"/>
  <c r="P23" i="3028" s="1"/>
  <c r="E30" i="3028"/>
  <c r="M44" i="3027"/>
  <c r="E10" i="3028"/>
  <c r="C44" i="3028" l="1"/>
  <c r="K44" i="3028" s="1"/>
  <c r="C30" i="3028"/>
  <c r="C37" i="3028" s="1"/>
  <c r="G30" i="3028"/>
  <c r="E37" i="3028" s="1"/>
  <c r="G37" i="3028" s="1"/>
  <c r="N44" i="3028" s="1"/>
  <c r="G10" i="3029" s="1"/>
  <c r="E30" i="3029" s="1"/>
  <c r="M44" i="3028" l="1"/>
  <c r="E10" i="3029"/>
  <c r="C44" i="3029" l="1"/>
  <c r="K44" i="3029" s="1"/>
  <c r="C30" i="3029"/>
  <c r="C37" i="3029" l="1"/>
  <c r="G30" i="3029"/>
  <c r="E37" i="3029" s="1"/>
  <c r="G37" i="3029" s="1"/>
  <c r="N44" i="3029" s="1"/>
  <c r="G10" i="3030" s="1"/>
  <c r="M44" i="3029"/>
  <c r="E10" i="3030"/>
  <c r="C44" i="3030" l="1"/>
  <c r="K44" i="3030" s="1"/>
  <c r="C30" i="3030"/>
  <c r="C37" i="3030" s="1"/>
  <c r="E30" i="3030"/>
  <c r="G30" i="3030" s="1"/>
  <c r="E37" i="3030" s="1"/>
  <c r="G37" i="3030" s="1"/>
  <c r="N44" i="3030" s="1"/>
  <c r="G10" i="3031" s="1"/>
  <c r="N16" i="3030"/>
  <c r="O16" i="3030" s="1"/>
  <c r="P16" i="3030" s="1"/>
  <c r="N17" i="3030"/>
  <c r="O17" i="3030" s="1"/>
  <c r="P17" i="3030" s="1"/>
  <c r="P23" i="3030" l="1"/>
  <c r="E30" i="3031"/>
  <c r="N16" i="3031"/>
  <c r="O16" i="3031" s="1"/>
  <c r="P16" i="3031" s="1"/>
  <c r="P23" i="3031" s="1"/>
  <c r="M44" i="3030"/>
  <c r="E10" i="3031"/>
  <c r="C44" i="3031" l="1"/>
  <c r="K44" i="3031" s="1"/>
  <c r="C30" i="3031"/>
  <c r="C37" i="3031" s="1"/>
  <c r="G30" i="3031"/>
  <c r="E37" i="3031" s="1"/>
  <c r="G37" i="3031" s="1"/>
  <c r="N44" i="3031" s="1"/>
  <c r="G10" i="3032" s="1"/>
  <c r="E30" i="3032" l="1"/>
  <c r="N16" i="3032"/>
  <c r="O16" i="3032" s="1"/>
  <c r="P16" i="3032" s="1"/>
  <c r="P23" i="3032" s="1"/>
  <c r="M44" i="3031"/>
  <c r="E10" i="3032"/>
  <c r="C44" i="3032" l="1"/>
  <c r="K44" i="3032" s="1"/>
  <c r="C30" i="3032"/>
  <c r="C37" i="3032" s="1"/>
  <c r="G30" i="3032"/>
  <c r="E37" i="3032" s="1"/>
  <c r="G37" i="3032" s="1"/>
  <c r="N44" i="3032" s="1"/>
  <c r="G10" i="3033" s="1"/>
  <c r="E30" i="3033" s="1"/>
  <c r="M44" i="3032" l="1"/>
  <c r="E10" i="3033"/>
  <c r="C44" i="3033" l="1"/>
  <c r="K44" i="3033" s="1"/>
  <c r="C30" i="3033"/>
  <c r="C37" i="3033" l="1"/>
  <c r="G30" i="3033"/>
  <c r="E37" i="3033" s="1"/>
  <c r="G37" i="3033" s="1"/>
  <c r="N44" i="3033" s="1"/>
  <c r="G10" i="3034" s="1"/>
  <c r="E30" i="3034" s="1"/>
  <c r="M44" i="3033"/>
  <c r="E10" i="3034"/>
  <c r="C44" i="3034" l="1"/>
  <c r="K44" i="3034" s="1"/>
  <c r="C30" i="3034"/>
  <c r="C37" i="3034" s="1"/>
  <c r="G30" i="3034"/>
  <c r="E37" i="3034" s="1"/>
  <c r="G37" i="3034" s="1"/>
  <c r="N44" i="3034" s="1"/>
  <c r="G10" i="3037" l="1"/>
  <c r="E30" i="3037" s="1"/>
  <c r="E10" i="3037"/>
  <c r="M44" i="3034"/>
  <c r="C44" i="3037" l="1"/>
  <c r="C30" i="3037"/>
  <c r="C37" i="3037" s="1"/>
  <c r="G30" i="3037"/>
  <c r="E37" i="3037" s="1"/>
  <c r="G37" i="3037" s="1"/>
  <c r="N44" i="3037" s="1"/>
  <c r="G10" i="3038" s="1"/>
  <c r="E30" i="3038" s="1"/>
  <c r="K44" i="3037" l="1"/>
  <c r="M44" i="3037" l="1"/>
  <c r="E10" i="3038"/>
  <c r="C44" i="3038" l="1"/>
  <c r="K44" i="3038" s="1"/>
  <c r="C30" i="3038"/>
  <c r="C37" i="3038" l="1"/>
  <c r="G30" i="3038"/>
  <c r="E37" i="3038" s="1"/>
  <c r="G37" i="3038" s="1"/>
  <c r="N44" i="3038" s="1"/>
  <c r="G10" i="3039" s="1"/>
  <c r="M44" i="3038"/>
  <c r="E10" i="3039"/>
  <c r="C44" i="3039" l="1"/>
  <c r="K44" i="3039" s="1"/>
  <c r="C30" i="3039"/>
  <c r="C37" i="3039" s="1"/>
  <c r="N17" i="3039"/>
  <c r="O17" i="3039" s="1"/>
  <c r="P17" i="3039" s="1"/>
  <c r="N16" i="3039"/>
  <c r="O16" i="3039" s="1"/>
  <c r="P16" i="3039" s="1"/>
  <c r="P23" i="3039" s="1"/>
  <c r="E30" i="3039"/>
  <c r="G30" i="3039" s="1"/>
  <c r="E37" i="3039" s="1"/>
  <c r="G37" i="3039" s="1"/>
  <c r="N44" i="3039" s="1"/>
  <c r="G10" i="3040" s="1"/>
  <c r="E30" i="3040" s="1"/>
  <c r="M44" i="3039" l="1"/>
  <c r="E10" i="3040"/>
  <c r="C44" i="3040" l="1"/>
  <c r="K44" i="3040" s="1"/>
  <c r="C30" i="3040"/>
  <c r="C37" i="3040" l="1"/>
  <c r="G30" i="3040"/>
  <c r="E37" i="3040" s="1"/>
  <c r="G37" i="3040" s="1"/>
  <c r="N44" i="3040" s="1"/>
  <c r="G10" i="3041" s="1"/>
  <c r="M44" i="3040"/>
  <c r="E10" i="3041"/>
  <c r="C44" i="3041" l="1"/>
  <c r="K44" i="3041" s="1"/>
  <c r="C30" i="3041"/>
  <c r="C37" i="3041" s="1"/>
  <c r="N16" i="3041"/>
  <c r="O16" i="3041" s="1"/>
  <c r="P16" i="3041" s="1"/>
  <c r="P23" i="3041" s="1"/>
  <c r="E30" i="3041"/>
  <c r="G30" i="3041" s="1"/>
  <c r="E37" i="3041" s="1"/>
  <c r="G37" i="3041" s="1"/>
  <c r="N44" i="3041" s="1"/>
  <c r="G10" i="3042" s="1"/>
  <c r="E30" i="3042" l="1"/>
  <c r="N16" i="3042"/>
  <c r="O16" i="3042" s="1"/>
  <c r="P16" i="3042" s="1"/>
  <c r="P23" i="3042" s="1"/>
  <c r="M44" i="3041"/>
  <c r="E10" i="3042"/>
  <c r="C44" i="3042" l="1"/>
  <c r="K44" i="3042" s="1"/>
  <c r="C30" i="3042"/>
  <c r="C37" i="3042" s="1"/>
  <c r="G30" i="3042"/>
  <c r="E37" i="3042" s="1"/>
  <c r="G37" i="3042" s="1"/>
  <c r="N44" i="3042" s="1"/>
  <c r="G10" i="3076" s="1"/>
  <c r="E30" i="3076" s="1"/>
  <c r="E10" i="3076" l="1"/>
  <c r="M44" i="3042"/>
  <c r="C44" i="3076" l="1"/>
  <c r="K44" i="3076" s="1"/>
  <c r="C30" i="3076"/>
  <c r="C37" i="3076" l="1"/>
  <c r="G30" i="3076"/>
  <c r="E37" i="3076" s="1"/>
  <c r="G37" i="3076" s="1"/>
  <c r="N44" i="3076" s="1"/>
  <c r="G10" i="3043" s="1"/>
  <c r="M44" i="3076"/>
  <c r="E10" i="3043"/>
  <c r="C44" i="3043" l="1"/>
  <c r="K44" i="3043" s="1"/>
  <c r="C30" i="3043"/>
  <c r="C37" i="3043" s="1"/>
  <c r="N19" i="3043"/>
  <c r="O19" i="3043" s="1"/>
  <c r="P19" i="3043" s="1"/>
  <c r="N18" i="3043"/>
  <c r="O18" i="3043" s="1"/>
  <c r="P18" i="3043" s="1"/>
  <c r="N17" i="3043"/>
  <c r="O17" i="3043" s="1"/>
  <c r="P17" i="3043" s="1"/>
  <c r="E30" i="3043"/>
  <c r="G30" i="3043" s="1"/>
  <c r="E37" i="3043" s="1"/>
  <c r="G37" i="3043" s="1"/>
  <c r="N44" i="3043" s="1"/>
  <c r="G10" i="3045" s="1"/>
  <c r="E30" i="3045" s="1"/>
  <c r="N16" i="3043"/>
  <c r="O16" i="3043" s="1"/>
  <c r="P16" i="3043" s="1"/>
  <c r="P23" i="3043" s="1"/>
  <c r="M44" i="3043" l="1"/>
  <c r="E10" i="3045"/>
  <c r="C30" i="3045" l="1"/>
  <c r="C44" i="3045"/>
  <c r="K44" i="3045" s="1"/>
  <c r="M44" i="3045" l="1"/>
  <c r="E10" i="3044"/>
  <c r="C37" i="3045"/>
  <c r="G30" i="3045"/>
  <c r="E37" i="3045" s="1"/>
  <c r="G37" i="3045" s="1"/>
  <c r="N44" i="3045" s="1"/>
  <c r="G10" i="3044" s="1"/>
  <c r="N19" i="3044" l="1"/>
  <c r="O19" i="3044" s="1"/>
  <c r="P19" i="3044" s="1"/>
  <c r="E30" i="3044"/>
  <c r="N18" i="3044"/>
  <c r="O18" i="3044" s="1"/>
  <c r="P18" i="3044" s="1"/>
  <c r="N17" i="3044"/>
  <c r="O17" i="3044" s="1"/>
  <c r="P17" i="3044" s="1"/>
  <c r="N16" i="3044"/>
  <c r="O16" i="3044" s="1"/>
  <c r="P16" i="3044" s="1"/>
  <c r="P23" i="3044" s="1"/>
  <c r="C44" i="3044"/>
  <c r="K44" i="3044" s="1"/>
  <c r="C30" i="3044"/>
  <c r="C37" i="3044" s="1"/>
  <c r="M44" i="3044" l="1"/>
  <c r="E10" i="3046"/>
  <c r="G30" i="3044"/>
  <c r="E37" i="3044" s="1"/>
  <c r="G37" i="3044" s="1"/>
  <c r="N44" i="3044" s="1"/>
  <c r="G10" i="3046" s="1"/>
  <c r="E30" i="3046" s="1"/>
  <c r="C30" i="3046" l="1"/>
  <c r="C44" i="3046"/>
  <c r="K44" i="3046" s="1"/>
  <c r="E10" i="3047" l="1"/>
  <c r="M44" i="3046"/>
  <c r="C37" i="3046"/>
  <c r="G30" i="3046"/>
  <c r="E37" i="3046" s="1"/>
  <c r="G37" i="3046" s="1"/>
  <c r="N44" i="3046" s="1"/>
  <c r="G10" i="3047" s="1"/>
  <c r="N16" i="3047" l="1"/>
  <c r="O16" i="3047" s="1"/>
  <c r="P16" i="3047" s="1"/>
  <c r="P23" i="3047" s="1"/>
  <c r="E30" i="3047"/>
  <c r="C44" i="3047"/>
  <c r="K44" i="3047" s="1"/>
  <c r="C30" i="3047"/>
  <c r="C37" i="3047" s="1"/>
  <c r="M44" i="3047" l="1"/>
  <c r="E10" i="3048"/>
  <c r="G30" i="3047"/>
  <c r="E37" i="3047" s="1"/>
  <c r="G37" i="3047" s="1"/>
  <c r="N44" i="3047" s="1"/>
  <c r="G10" i="3048" s="1"/>
  <c r="N17" i="3048" l="1"/>
  <c r="O17" i="3048" s="1"/>
  <c r="P17" i="3048" s="1"/>
  <c r="E30" i="3048"/>
  <c r="N16" i="3048"/>
  <c r="O16" i="3048" s="1"/>
  <c r="P16" i="3048" s="1"/>
  <c r="P23" i="3048" s="1"/>
  <c r="C44" i="3048"/>
  <c r="K44" i="3048" s="1"/>
  <c r="C30" i="3048"/>
  <c r="C37" i="3048" s="1"/>
  <c r="M44" i="3048" l="1"/>
  <c r="E10" i="3049"/>
  <c r="G30" i="3048"/>
  <c r="E37" i="3048" s="1"/>
  <c r="G37" i="3048" s="1"/>
  <c r="N44" i="3048" s="1"/>
  <c r="G10" i="3049" s="1"/>
  <c r="E30" i="3049" l="1"/>
  <c r="N17" i="3049"/>
  <c r="O17" i="3049" s="1"/>
  <c r="P17" i="3049" s="1"/>
  <c r="N16" i="3049"/>
  <c r="O16" i="3049" s="1"/>
  <c r="P16" i="3049" s="1"/>
  <c r="P23" i="3049" s="1"/>
  <c r="C44" i="3049"/>
  <c r="K44" i="3049" s="1"/>
  <c r="C30" i="3049"/>
  <c r="C37" i="3049" s="1"/>
  <c r="M44" i="3049" l="1"/>
  <c r="E10" i="3050"/>
  <c r="G30" i="3049"/>
  <c r="E37" i="3049" s="1"/>
  <c r="G37" i="3049" s="1"/>
  <c r="N44" i="3049" s="1"/>
  <c r="G10" i="3050" s="1"/>
  <c r="E30" i="3050" s="1"/>
  <c r="C30" i="3050" l="1"/>
  <c r="C44" i="3050"/>
  <c r="K44" i="3050" s="1"/>
  <c r="M44" i="3050" l="1"/>
  <c r="E10" i="3051"/>
  <c r="C37" i="3050"/>
  <c r="G30" i="3050"/>
  <c r="E37" i="3050" s="1"/>
  <c r="G37" i="3050" s="1"/>
  <c r="N44" i="3050" s="1"/>
  <c r="G10" i="3051" s="1"/>
  <c r="N18" i="3051" l="1"/>
  <c r="O18" i="3051" s="1"/>
  <c r="P18" i="3051" s="1"/>
  <c r="N17" i="3051"/>
  <c r="O17" i="3051" s="1"/>
  <c r="P17" i="3051" s="1"/>
  <c r="N16" i="3051"/>
  <c r="O16" i="3051" s="1"/>
  <c r="P16" i="3051" s="1"/>
  <c r="P23" i="3051" s="1"/>
  <c r="E30" i="3051"/>
  <c r="C44" i="3051"/>
  <c r="K44" i="3051" s="1"/>
  <c r="C30" i="3051"/>
  <c r="C37" i="3051" s="1"/>
  <c r="M44" i="3051" l="1"/>
  <c r="E10" i="3053"/>
  <c r="G30" i="3051"/>
  <c r="E37" i="3051" s="1"/>
  <c r="G37" i="3051" s="1"/>
  <c r="N44" i="3051" s="1"/>
  <c r="G10" i="3053" s="1"/>
  <c r="E30" i="3053" l="1"/>
  <c r="N18" i="3053"/>
  <c r="O18" i="3053" s="1"/>
  <c r="P18" i="3053" s="1"/>
  <c r="N17" i="3053"/>
  <c r="O17" i="3053" s="1"/>
  <c r="P17" i="3053" s="1"/>
  <c r="N16" i="3053"/>
  <c r="O16" i="3053" s="1"/>
  <c r="P16" i="3053" s="1"/>
  <c r="P23" i="3053" s="1"/>
  <c r="C30" i="3053"/>
  <c r="C37" i="3053" s="1"/>
  <c r="C44" i="3053"/>
  <c r="K44" i="3053" s="1"/>
  <c r="M44" i="3053" l="1"/>
  <c r="E10" i="3062"/>
  <c r="G30" i="3053"/>
  <c r="E37" i="3053" s="1"/>
  <c r="G37" i="3053" s="1"/>
  <c r="N44" i="3053" s="1"/>
  <c r="G10" i="3062" s="1"/>
  <c r="E30" i="3062" s="1"/>
  <c r="C44" i="3062" l="1"/>
  <c r="K44" i="3062" s="1"/>
  <c r="C30" i="3062"/>
  <c r="C37" i="3062" l="1"/>
  <c r="G30" i="3062"/>
  <c r="E37" i="3062" s="1"/>
  <c r="G37" i="3062" s="1"/>
  <c r="N44" i="3062" s="1"/>
  <c r="G10" i="3063" s="1"/>
  <c r="E30" i="3063" s="1"/>
  <c r="M44" i="3062"/>
  <c r="E10" i="3063"/>
  <c r="C30" i="3063" l="1"/>
  <c r="C37" i="3063" s="1"/>
  <c r="C44" i="3063"/>
  <c r="K44" i="3063" s="1"/>
  <c r="G30" i="3063"/>
  <c r="E37" i="3063" s="1"/>
  <c r="G37" i="3063" s="1"/>
  <c r="N44" i="3063" s="1"/>
  <c r="G10" i="3064" s="1"/>
  <c r="E30" i="3064" s="1"/>
  <c r="E10" i="3064" l="1"/>
  <c r="M44" i="3063"/>
  <c r="C44" i="3064" l="1"/>
  <c r="K44" i="3064" s="1"/>
  <c r="C30" i="3064"/>
  <c r="C37" i="3064" l="1"/>
  <c r="G30" i="3064"/>
  <c r="E37" i="3064" s="1"/>
  <c r="G37" i="3064" s="1"/>
  <c r="N44" i="3064" s="1"/>
  <c r="G10" i="3065" s="1"/>
  <c r="M44" i="3064"/>
  <c r="E10" i="3065"/>
  <c r="C44" i="3065" l="1"/>
  <c r="K44" i="3065" s="1"/>
  <c r="C30" i="3065"/>
  <c r="C37" i="3065" s="1"/>
  <c r="N17" i="3065"/>
  <c r="O17" i="3065" s="1"/>
  <c r="P17" i="3065" s="1"/>
  <c r="N16" i="3065"/>
  <c r="O16" i="3065" s="1"/>
  <c r="P16" i="3065" s="1"/>
  <c r="P23" i="3065" s="1"/>
  <c r="E30" i="3065"/>
  <c r="G30" i="3065" s="1"/>
  <c r="E37" i="3065" s="1"/>
  <c r="G37" i="3065" s="1"/>
  <c r="N44" i="3065" s="1"/>
  <c r="G10" i="3066" s="1"/>
  <c r="N19" i="3066" l="1"/>
  <c r="O19" i="3066" s="1"/>
  <c r="P19" i="3066" s="1"/>
  <c r="N18" i="3066"/>
  <c r="O18" i="3066" s="1"/>
  <c r="P18" i="3066" s="1"/>
  <c r="E30" i="3066"/>
  <c r="N17" i="3066"/>
  <c r="O17" i="3066" s="1"/>
  <c r="P17" i="3066" s="1"/>
  <c r="N16" i="3066"/>
  <c r="O16" i="3066" s="1"/>
  <c r="P16" i="3066" s="1"/>
  <c r="P23" i="3066" s="1"/>
  <c r="M44" i="3065"/>
  <c r="E10" i="3066"/>
  <c r="C44" i="3066" l="1"/>
  <c r="K44" i="3066" s="1"/>
  <c r="C30" i="3066"/>
  <c r="C37" i="3066" s="1"/>
  <c r="G30" i="3066"/>
  <c r="E37" i="3066" s="1"/>
  <c r="G37" i="3066" s="1"/>
  <c r="N44" i="3066" s="1"/>
  <c r="G10" i="3067" s="1"/>
  <c r="E30" i="3067" l="1"/>
  <c r="N16" i="3067"/>
  <c r="O16" i="3067" s="1"/>
  <c r="P16" i="3067" s="1"/>
  <c r="P23" i="3067" s="1"/>
  <c r="M44" i="3066"/>
  <c r="E10" i="3067"/>
  <c r="C44" i="3067" l="1"/>
  <c r="K44" i="3067" s="1"/>
  <c r="C30" i="3067"/>
  <c r="C37" i="3067" s="1"/>
  <c r="G30" i="3067"/>
  <c r="E37" i="3067" s="1"/>
  <c r="G37" i="3067" s="1"/>
  <c r="N44" i="3067" s="1"/>
  <c r="G10" i="3077" s="1"/>
  <c r="E30" i="3077" s="1"/>
  <c r="E10" i="3077" l="1"/>
  <c r="M44" i="3067"/>
  <c r="C44" i="3077" l="1"/>
  <c r="K44" i="3077" s="1"/>
  <c r="C30" i="3077"/>
  <c r="C37" i="3077" l="1"/>
  <c r="G30" i="3077"/>
  <c r="E10" i="3078"/>
  <c r="M44" i="3077"/>
  <c r="E37" i="3077" l="1"/>
  <c r="G37" i="3077" s="1"/>
  <c r="N44" i="3077" s="1"/>
  <c r="G10" i="3078" s="1"/>
  <c r="C44" i="3078"/>
  <c r="K44" i="3078" s="1"/>
  <c r="C30" i="3078"/>
  <c r="N17" i="3078"/>
  <c r="O17" i="3078" s="1"/>
  <c r="P17" i="3078" s="1"/>
  <c r="N19" i="3078"/>
  <c r="O19" i="3078" s="1"/>
  <c r="P19" i="3078" s="1"/>
  <c r="N18" i="3078"/>
  <c r="O18" i="3078" s="1"/>
  <c r="P18" i="3078" s="1"/>
  <c r="E30" i="3078"/>
  <c r="N20" i="3078"/>
  <c r="O20" i="3078" s="1"/>
  <c r="P20" i="3078" s="1"/>
  <c r="N16" i="3078"/>
  <c r="O16" i="3078" s="1"/>
  <c r="P16" i="3078" s="1"/>
  <c r="P23" i="3078" l="1"/>
  <c r="G30" i="3078"/>
  <c r="E37" i="3078" s="1"/>
  <c r="C37" i="3078"/>
  <c r="M44" i="3078"/>
  <c r="E10" i="3079"/>
  <c r="C44" i="3079" l="1"/>
  <c r="K44" i="3079" s="1"/>
  <c r="C30" i="3079"/>
  <c r="G37" i="3078"/>
  <c r="N44" i="3078" s="1"/>
  <c r="G10" i="3079" s="1"/>
  <c r="E30" i="3079" s="1"/>
  <c r="C37" i="3079" l="1"/>
  <c r="G30" i="3079"/>
  <c r="E37" i="3079" s="1"/>
  <c r="G37" i="3079" s="1"/>
  <c r="N44" i="3079" s="1"/>
  <c r="G10" i="3080" s="1"/>
  <c r="M44" i="3079"/>
  <c r="E10" i="3080"/>
  <c r="C30" i="3080" l="1"/>
  <c r="C44" i="3080"/>
  <c r="K44" i="3080" s="1"/>
  <c r="E30" i="3080"/>
  <c r="N16" i="3080"/>
  <c r="O16" i="3080" s="1"/>
  <c r="P16" i="3080" s="1"/>
  <c r="P23" i="3080" s="1"/>
  <c r="E10" i="3081" l="1"/>
  <c r="M44" i="3080"/>
  <c r="G30" i="3080"/>
  <c r="E37" i="3080" s="1"/>
  <c r="C37" i="3080"/>
  <c r="G37" i="3080" l="1"/>
  <c r="N44" i="3080" s="1"/>
  <c r="G10" i="3081" s="1"/>
  <c r="C30" i="3081"/>
  <c r="C44" i="3081"/>
  <c r="K44" i="3081" s="1"/>
  <c r="E10" i="3093" s="1"/>
  <c r="C44" i="3093" l="1"/>
  <c r="K44" i="3093" s="1"/>
  <c r="C30" i="3093"/>
  <c r="M44" i="3081"/>
  <c r="C37" i="3081"/>
  <c r="E30" i="3081"/>
  <c r="G30" i="3081" s="1"/>
  <c r="E37" i="3081" s="1"/>
  <c r="G37" i="3081" s="1"/>
  <c r="N44" i="3081" s="1"/>
  <c r="N16" i="3081"/>
  <c r="O16" i="3081" s="1"/>
  <c r="P16" i="3081" s="1"/>
  <c r="P23" i="3081" s="1"/>
  <c r="M44" i="3093" l="1"/>
  <c r="E10" i="3082"/>
  <c r="G10" i="3093"/>
  <c r="C37" i="3093"/>
  <c r="C30" i="3082"/>
  <c r="C44" i="3082"/>
  <c r="K44" i="3082" s="1"/>
  <c r="E30" i="3093" l="1"/>
  <c r="G30" i="3093" s="1"/>
  <c r="E37" i="3093" s="1"/>
  <c r="G37" i="3093" s="1"/>
  <c r="N44" i="3093" s="1"/>
  <c r="G10" i="3082" s="1"/>
  <c r="E30" i="3082" s="1"/>
  <c r="G30" i="3082" s="1"/>
  <c r="E37" i="3082" s="1"/>
  <c r="N16" i="3093"/>
  <c r="O16" i="3093" s="1"/>
  <c r="P16" i="3093" s="1"/>
  <c r="P23" i="3093" s="1"/>
  <c r="E10" i="3083"/>
  <c r="M44" i="3082"/>
  <c r="C37" i="3082"/>
  <c r="G37" i="3082" l="1"/>
  <c r="N44" i="3082" s="1"/>
  <c r="G10" i="3083" s="1"/>
  <c r="E30" i="3083" s="1"/>
  <c r="C44" i="3083"/>
  <c r="K44" i="3083" s="1"/>
  <c r="C30" i="3083"/>
  <c r="G30" i="3083" l="1"/>
  <c r="E37" i="3083" s="1"/>
  <c r="C37" i="3083"/>
  <c r="E10" i="3084"/>
  <c r="M44" i="3083"/>
  <c r="C44" i="3084" l="1"/>
  <c r="K44" i="3084" s="1"/>
  <c r="C30" i="3084"/>
  <c r="G37" i="3083"/>
  <c r="N44" i="3083" s="1"/>
  <c r="G10" i="3084" s="1"/>
  <c r="E30" i="3084" s="1"/>
  <c r="M44" i="3084" l="1"/>
  <c r="E10" i="3085"/>
  <c r="C37" i="3084"/>
  <c r="G30" i="3084"/>
  <c r="E37" i="3084" s="1"/>
  <c r="G37" i="3084" s="1"/>
  <c r="N44" i="3084" s="1"/>
  <c r="G10" i="3085" s="1"/>
  <c r="N18" i="3085" l="1"/>
  <c r="O18" i="3085" s="1"/>
  <c r="P18" i="3085" s="1"/>
  <c r="N17" i="3085"/>
  <c r="O17" i="3085" s="1"/>
  <c r="P17" i="3085" s="1"/>
  <c r="N16" i="3085"/>
  <c r="O16" i="3085" s="1"/>
  <c r="P16" i="3085" s="1"/>
  <c r="E30" i="3085"/>
  <c r="C44" i="3085"/>
  <c r="C30" i="3085"/>
  <c r="P23" i="3085" l="1"/>
  <c r="C37" i="3085"/>
  <c r="G30" i="3085"/>
  <c r="E37" i="3085" s="1"/>
  <c r="G37" i="3085" s="1"/>
  <c r="N44" i="3085" s="1"/>
  <c r="G10" i="3086" s="1"/>
  <c r="K44" i="3085"/>
  <c r="E10" i="3086" l="1"/>
  <c r="M44" i="3085"/>
  <c r="E30" i="3086"/>
  <c r="N17" i="3086"/>
  <c r="O17" i="3086" s="1"/>
  <c r="P17" i="3086" s="1"/>
  <c r="N16" i="3086"/>
  <c r="O16" i="3086" s="1"/>
  <c r="P16" i="3086" s="1"/>
  <c r="P23" i="3086" l="1"/>
  <c r="C44" i="3086"/>
  <c r="K44" i="3086" s="1"/>
  <c r="C30" i="3086"/>
  <c r="C37" i="3086" l="1"/>
  <c r="G30" i="3086"/>
  <c r="E37" i="3086" s="1"/>
  <c r="G37" i="3086" s="1"/>
  <c r="N44" i="3086" s="1"/>
  <c r="G10" i="3087" s="1"/>
  <c r="M44" i="3086"/>
  <c r="E10" i="3087"/>
  <c r="C44" i="3087" l="1"/>
  <c r="K44" i="3087" s="1"/>
  <c r="C30" i="3087"/>
  <c r="E30" i="3087"/>
  <c r="N16" i="3087"/>
  <c r="O16" i="3087" s="1"/>
  <c r="P16" i="3087" s="1"/>
  <c r="P23" i="3087" s="1"/>
  <c r="C37" i="3087" l="1"/>
  <c r="G30" i="3087"/>
  <c r="E37" i="3087" s="1"/>
  <c r="G37" i="3087" s="1"/>
  <c r="N44" i="3087" s="1"/>
  <c r="G10" i="3088" s="1"/>
  <c r="E30" i="3088" s="1"/>
  <c r="M44" i="3087"/>
  <c r="E10" i="3088"/>
  <c r="C44" i="3088" l="1"/>
  <c r="K44" i="3088" s="1"/>
  <c r="C30" i="3088"/>
  <c r="C37" i="3088" l="1"/>
  <c r="G30" i="3088"/>
  <c r="E37" i="3088" s="1"/>
  <c r="G37" i="3088" s="1"/>
  <c r="N44" i="3088" s="1"/>
  <c r="G10" i="3089" s="1"/>
  <c r="M44" i="3088"/>
  <c r="E10" i="3089"/>
  <c r="C44" i="3089" l="1"/>
  <c r="K44" i="3089" s="1"/>
  <c r="C30" i="3089"/>
  <c r="N16" i="3089"/>
  <c r="O16" i="3089" s="1"/>
  <c r="P16" i="3089" s="1"/>
  <c r="P23" i="3089" s="1"/>
  <c r="E30" i="3089"/>
  <c r="C37" i="3089" l="1"/>
  <c r="G30" i="3089"/>
  <c r="E37" i="3089" s="1"/>
  <c r="G37" i="3089" s="1"/>
  <c r="N44" i="3089" s="1"/>
  <c r="G10" i="3092" s="1"/>
  <c r="E30" i="3092" s="1"/>
  <c r="M44" i="3089"/>
  <c r="E10" i="3092"/>
  <c r="C44" i="3092" l="1"/>
  <c r="K44" i="3092" s="1"/>
  <c r="E10" i="3094" s="1"/>
  <c r="C30" i="3092"/>
  <c r="C44" i="3094" l="1"/>
  <c r="K44" i="3094" s="1"/>
  <c r="C30" i="3094"/>
  <c r="C37" i="3094" s="1"/>
  <c r="C37" i="3092"/>
  <c r="G30" i="3092"/>
  <c r="E37" i="3092" s="1"/>
  <c r="G37" i="3092" s="1"/>
  <c r="N44" i="3092" s="1"/>
  <c r="G10" i="3094" s="1"/>
  <c r="E30" i="3094" s="1"/>
  <c r="G30" i="3094" s="1"/>
  <c r="E37" i="3094" s="1"/>
  <c r="G37" i="3094" s="1"/>
  <c r="N44" i="3094" s="1"/>
  <c r="G10" i="3095" s="1"/>
  <c r="M44" i="3092"/>
  <c r="M44" i="3094" l="1"/>
  <c r="E10" i="3095"/>
  <c r="N18" i="3095"/>
  <c r="O18" i="3095" s="1"/>
  <c r="P18" i="3095" s="1"/>
  <c r="N16" i="3095"/>
  <c r="O16" i="3095" s="1"/>
  <c r="P16" i="3095" s="1"/>
  <c r="N17" i="3095"/>
  <c r="O17" i="3095" s="1"/>
  <c r="P17" i="3095" s="1"/>
  <c r="E30" i="3095"/>
  <c r="C44" i="3095" l="1"/>
  <c r="K44" i="3095" s="1"/>
  <c r="C30" i="3095"/>
  <c r="P23" i="3095"/>
  <c r="C37" i="3095" l="1"/>
  <c r="G30" i="3095"/>
  <c r="E37" i="3095" s="1"/>
  <c r="G37" i="3095" s="1"/>
  <c r="N44" i="3095" s="1"/>
  <c r="G10" i="3096" s="1"/>
  <c r="E30" i="3096" s="1"/>
  <c r="M44" i="3095"/>
  <c r="E10" i="3096"/>
  <c r="C44" i="3096" l="1"/>
  <c r="K44" i="3096" s="1"/>
  <c r="C30" i="3096"/>
  <c r="C37" i="3096" s="1"/>
  <c r="G30" i="3096"/>
  <c r="E37" i="3096" s="1"/>
  <c r="G37" i="3096" s="1"/>
  <c r="N44" i="3096" s="1"/>
  <c r="G10" i="3097" s="1"/>
  <c r="E30" i="3097" s="1"/>
  <c r="M44" i="3096" l="1"/>
  <c r="E10" i="3097"/>
  <c r="C44" i="3097" l="1"/>
  <c r="K44" i="3097" s="1"/>
  <c r="C30" i="3097"/>
  <c r="C37" i="3097" l="1"/>
  <c r="G30" i="3097"/>
  <c r="E37" i="3097" s="1"/>
  <c r="G37" i="3097" s="1"/>
  <c r="N44" i="3097" s="1"/>
  <c r="G10" i="3098" s="1"/>
  <c r="M44" i="3097"/>
  <c r="E10" i="3098"/>
  <c r="C44" i="3098" l="1"/>
  <c r="K44" i="3098" s="1"/>
  <c r="C30" i="3098"/>
  <c r="C37" i="3098" s="1"/>
  <c r="N17" i="3098"/>
  <c r="O17" i="3098" s="1"/>
  <c r="P17" i="3098" s="1"/>
  <c r="N16" i="3098"/>
  <c r="O16" i="3098" s="1"/>
  <c r="P16" i="3098" s="1"/>
  <c r="P23" i="3098" s="1"/>
  <c r="E30" i="3098"/>
  <c r="G30" i="3098" s="1"/>
  <c r="E37" i="3098" s="1"/>
  <c r="G37" i="3098" s="1"/>
  <c r="N44" i="3098" s="1"/>
  <c r="G10" i="3102" s="1"/>
  <c r="E30" i="3102" s="1"/>
  <c r="M44" i="3098" l="1"/>
  <c r="E10" i="3102"/>
  <c r="C30" i="3102" l="1"/>
  <c r="C44" i="3102"/>
  <c r="K44" i="3102" s="1"/>
  <c r="M44" i="3102" l="1"/>
  <c r="E10" i="3103"/>
  <c r="C37" i="3102"/>
  <c r="G30" i="3102"/>
  <c r="E37" i="3102" s="1"/>
  <c r="G37" i="3102" s="1"/>
  <c r="N44" i="3102" s="1"/>
  <c r="G10" i="3103" s="1"/>
  <c r="N17" i="3103" l="1"/>
  <c r="O17" i="3103" s="1"/>
  <c r="P17" i="3103" s="1"/>
  <c r="E30" i="3103"/>
  <c r="N16" i="3103"/>
  <c r="O16" i="3103" s="1"/>
  <c r="P16" i="3103" s="1"/>
  <c r="N18" i="3103"/>
  <c r="O18" i="3103" s="1"/>
  <c r="P18" i="3103" s="1"/>
  <c r="C30" i="3103"/>
  <c r="C37" i="3103" s="1"/>
  <c r="C44" i="3103"/>
  <c r="K44" i="3103" s="1"/>
  <c r="M44" i="3103" l="1"/>
  <c r="E10" i="3104"/>
  <c r="P23" i="3103"/>
  <c r="G30" i="3103"/>
  <c r="E37" i="3103" s="1"/>
  <c r="G37" i="3103" s="1"/>
  <c r="N44" i="3103" s="1"/>
  <c r="G10" i="3104" s="1"/>
  <c r="E30" i="3104" l="1"/>
  <c r="N16" i="3104"/>
  <c r="O16" i="3104" s="1"/>
  <c r="P16" i="3104" s="1"/>
  <c r="P23" i="3104" s="1"/>
  <c r="C44" i="3104"/>
  <c r="K44" i="3104" s="1"/>
  <c r="C30" i="3104"/>
  <c r="C37" i="3104" s="1"/>
  <c r="M44" i="3104" l="1"/>
  <c r="E10" i="3105"/>
  <c r="G30" i="3104"/>
  <c r="E37" i="3104" s="1"/>
  <c r="G37" i="3104" s="1"/>
  <c r="N44" i="3104" s="1"/>
  <c r="G10" i="3105" s="1"/>
  <c r="N17" i="3105" l="1"/>
  <c r="O17" i="3105" s="1"/>
  <c r="P17" i="3105" s="1"/>
  <c r="E30" i="3105"/>
  <c r="N16" i="3105"/>
  <c r="O16" i="3105" s="1"/>
  <c r="P16" i="3105" s="1"/>
  <c r="P23" i="3105" s="1"/>
  <c r="C30" i="3105"/>
  <c r="C37" i="3105" s="1"/>
  <c r="C44" i="3105"/>
  <c r="K44" i="3105" s="1"/>
  <c r="M44" i="3105" l="1"/>
  <c r="E10" i="3106"/>
  <c r="G30" i="3105"/>
  <c r="E37" i="3105" s="1"/>
  <c r="G37" i="3105" s="1"/>
  <c r="N44" i="3105" s="1"/>
  <c r="G10" i="3106" s="1"/>
  <c r="E30" i="3106" l="1"/>
  <c r="N16" i="3106"/>
  <c r="O16" i="3106" s="1"/>
  <c r="P16" i="3106" s="1"/>
  <c r="P23" i="3106" s="1"/>
  <c r="C44" i="3106"/>
  <c r="K44" i="3106" s="1"/>
  <c r="E10" i="3126" s="1"/>
  <c r="C30" i="3106"/>
  <c r="C37" i="3106" s="1"/>
  <c r="C44" i="3126" l="1"/>
  <c r="K44" i="3126" s="1"/>
  <c r="C30" i="3126"/>
  <c r="M44" i="3106"/>
  <c r="G30" i="3106"/>
  <c r="E37" i="3106" s="1"/>
  <c r="G37" i="3106" s="1"/>
  <c r="N44" i="3106" s="1"/>
  <c r="G10" i="3126" s="1"/>
  <c r="E30" i="3126" s="1"/>
  <c r="C37" i="3126" l="1"/>
  <c r="G30" i="3126"/>
  <c r="M44" i="3126"/>
  <c r="E10" i="3123"/>
  <c r="C44" i="3123" l="1"/>
  <c r="K44" i="3123" s="1"/>
  <c r="C30" i="3123"/>
  <c r="E37" i="3126"/>
  <c r="G37" i="3126" s="1"/>
  <c r="N44" i="3126" s="1"/>
  <c r="G10" i="3123" s="1"/>
  <c r="E30" i="3123" s="1"/>
  <c r="C37" i="3123" l="1"/>
  <c r="G30" i="3123"/>
  <c r="E37" i="3123" s="1"/>
  <c r="G37" i="3123" s="1"/>
  <c r="N44" i="3123" s="1"/>
  <c r="G10" i="3107" s="1"/>
  <c r="M44" i="3123"/>
  <c r="E10" i="3107"/>
  <c r="C44" i="3107" l="1"/>
  <c r="K44" i="3107" s="1"/>
  <c r="C30" i="3107"/>
  <c r="N17" i="3107"/>
  <c r="O17" i="3107" s="1"/>
  <c r="P17" i="3107" s="1"/>
  <c r="N16" i="3107"/>
  <c r="O16" i="3107" s="1"/>
  <c r="P16" i="3107" s="1"/>
  <c r="P23" i="3107" s="1"/>
  <c r="E30" i="3107"/>
  <c r="C37" i="3107" l="1"/>
  <c r="G30" i="3107"/>
  <c r="E37" i="3107" s="1"/>
  <c r="G37" i="3107" s="1"/>
  <c r="N44" i="3107" s="1"/>
  <c r="G10" i="3108" s="1"/>
  <c r="E30" i="3108" s="1"/>
  <c r="E10" i="3108"/>
  <c r="M44" i="3107"/>
  <c r="C44" i="3108" l="1"/>
  <c r="K44" i="3108" s="1"/>
  <c r="C30" i="3108"/>
  <c r="C37" i="3108" l="1"/>
  <c r="G30" i="3108"/>
  <c r="E37" i="3108" s="1"/>
  <c r="G37" i="3108" s="1"/>
  <c r="N44" i="3108" s="1"/>
  <c r="G10" i="3109" s="1"/>
  <c r="M44" i="3108"/>
  <c r="E10" i="3109"/>
  <c r="C30" i="3109" l="1"/>
  <c r="C37" i="3109" s="1"/>
  <c r="C44" i="3109"/>
  <c r="K44" i="3109" s="1"/>
  <c r="N18" i="3109"/>
  <c r="O18" i="3109" s="1"/>
  <c r="P18" i="3109" s="1"/>
  <c r="N19" i="3109"/>
  <c r="O19" i="3109" s="1"/>
  <c r="P19" i="3109" s="1"/>
  <c r="E30" i="3109"/>
  <c r="G30" i="3109" s="1"/>
  <c r="E37" i="3109" s="1"/>
  <c r="G37" i="3109" s="1"/>
  <c r="N44" i="3109" s="1"/>
  <c r="G10" i="3110" s="1"/>
  <c r="E30" i="3110" s="1"/>
  <c r="N16" i="3109"/>
  <c r="O16" i="3109" s="1"/>
  <c r="P16" i="3109" s="1"/>
  <c r="N17" i="3109"/>
  <c r="O17" i="3109" s="1"/>
  <c r="P17" i="3109" s="1"/>
  <c r="P23" i="3109" l="1"/>
  <c r="M44" i="3109"/>
  <c r="E10" i="3110"/>
  <c r="C44" i="3110" l="1"/>
  <c r="K44" i="3110" s="1"/>
  <c r="C30" i="3110"/>
  <c r="C37" i="3110" l="1"/>
  <c r="G30" i="3110"/>
  <c r="E37" i="3110" s="1"/>
  <c r="G37" i="3110" s="1"/>
  <c r="N44" i="3110" s="1"/>
  <c r="G10" i="3111" s="1"/>
  <c r="M44" i="3110"/>
  <c r="E10" i="3111"/>
  <c r="C44" i="3111" l="1"/>
  <c r="K44" i="3111" s="1"/>
  <c r="C30" i="3111"/>
  <c r="C37" i="3111" s="1"/>
  <c r="N16" i="3111"/>
  <c r="O16" i="3111" s="1"/>
  <c r="P16" i="3111" s="1"/>
  <c r="P23" i="3111" s="1"/>
  <c r="E30" i="3111"/>
  <c r="G30" i="3111" s="1"/>
  <c r="E37" i="3111" s="1"/>
  <c r="G37" i="3111" s="1"/>
  <c r="N44" i="3111" s="1"/>
  <c r="G10" i="3112" s="1"/>
  <c r="E30" i="3112" s="1"/>
  <c r="M44" i="3111" l="1"/>
  <c r="E10" i="3112"/>
  <c r="C44" i="3112" l="1"/>
  <c r="K44" i="3112" s="1"/>
  <c r="C30" i="3112"/>
  <c r="C37" i="3112" l="1"/>
  <c r="G30" i="3112"/>
  <c r="E37" i="3112" s="1"/>
  <c r="G37" i="3112" s="1"/>
  <c r="N44" i="3112" s="1"/>
  <c r="G10" i="3113" s="1"/>
  <c r="M44" i="3112"/>
  <c r="E10" i="3113"/>
  <c r="C44" i="3113" l="1"/>
  <c r="K44" i="3113" s="1"/>
  <c r="C30" i="3113"/>
  <c r="N21" i="3113"/>
  <c r="O21" i="3113" s="1"/>
  <c r="P21" i="3113" s="1"/>
  <c r="N20" i="3113"/>
  <c r="O20" i="3113" s="1"/>
  <c r="P20" i="3113" s="1"/>
  <c r="N19" i="3113"/>
  <c r="O19" i="3113" s="1"/>
  <c r="P19" i="3113" s="1"/>
  <c r="N18" i="3113"/>
  <c r="O18" i="3113" s="1"/>
  <c r="P18" i="3113" s="1"/>
  <c r="N17" i="3113"/>
  <c r="O17" i="3113" s="1"/>
  <c r="P17" i="3113" s="1"/>
  <c r="N16" i="3113"/>
  <c r="O16" i="3113" s="1"/>
  <c r="P16" i="3113" s="1"/>
  <c r="P23" i="3113" s="1"/>
  <c r="E30" i="3113"/>
  <c r="C37" i="3113" l="1"/>
  <c r="G30" i="3113"/>
  <c r="E37" i="3113" s="1"/>
  <c r="G37" i="3113" s="1"/>
  <c r="N44" i="3113" s="1"/>
  <c r="G10" i="3114" s="1"/>
  <c r="E30" i="3114" s="1"/>
  <c r="M44" i="3113"/>
  <c r="E10" i="3114"/>
  <c r="C44" i="3114" l="1"/>
  <c r="K44" i="3114" s="1"/>
  <c r="C30" i="3114"/>
  <c r="C37" i="3114" l="1"/>
  <c r="G30" i="3114"/>
  <c r="E37" i="3114" s="1"/>
  <c r="G37" i="3114" s="1"/>
  <c r="N44" i="3114" s="1"/>
  <c r="G10" i="3115" s="1"/>
  <c r="M44" i="3114"/>
  <c r="E10" i="3115"/>
  <c r="C44" i="3115" l="1"/>
  <c r="K44" i="3115" s="1"/>
  <c r="C30" i="3115"/>
  <c r="C37" i="3115" s="1"/>
  <c r="N19" i="3115"/>
  <c r="O19" i="3115" s="1"/>
  <c r="P19" i="3115" s="1"/>
  <c r="N18" i="3115"/>
  <c r="O18" i="3115" s="1"/>
  <c r="P18" i="3115" s="1"/>
  <c r="N17" i="3115"/>
  <c r="O17" i="3115" s="1"/>
  <c r="P17" i="3115" s="1"/>
  <c r="N16" i="3115"/>
  <c r="O16" i="3115" s="1"/>
  <c r="P16" i="3115" s="1"/>
  <c r="P23" i="3115" s="1"/>
  <c r="E30" i="3115"/>
  <c r="G30" i="3115" s="1"/>
  <c r="E37" i="3115" s="1"/>
  <c r="G37" i="3115" s="1"/>
  <c r="N44" i="3115" s="1"/>
  <c r="G10" i="3116" s="1"/>
  <c r="E30" i="3116" s="1"/>
  <c r="M44" i="3115" l="1"/>
  <c r="E10" i="3116"/>
  <c r="C44" i="3116" l="1"/>
  <c r="K44" i="3116" s="1"/>
  <c r="C30" i="3116"/>
  <c r="C37" i="3116" l="1"/>
  <c r="G30" i="3116"/>
  <c r="E37" i="3116" s="1"/>
  <c r="G37" i="3116" s="1"/>
  <c r="N44" i="3116" s="1"/>
  <c r="G10" i="3117" s="1"/>
  <c r="M44" i="3116"/>
  <c r="E10" i="3117"/>
  <c r="C44" i="3117" l="1"/>
  <c r="K44" i="3117" s="1"/>
  <c r="C30" i="3117"/>
  <c r="C37" i="3117" s="1"/>
  <c r="E30" i="3117"/>
  <c r="G30" i="3117" s="1"/>
  <c r="E37" i="3117" s="1"/>
  <c r="G37" i="3117" s="1"/>
  <c r="N44" i="3117" s="1"/>
  <c r="G10" i="3118" s="1"/>
  <c r="N19" i="3117"/>
  <c r="O19" i="3117" s="1"/>
  <c r="P19" i="3117" s="1"/>
  <c r="N18" i="3117"/>
  <c r="O18" i="3117" s="1"/>
  <c r="P18" i="3117" s="1"/>
  <c r="N17" i="3117"/>
  <c r="O17" i="3117" s="1"/>
  <c r="P17" i="3117" s="1"/>
  <c r="N16" i="3117"/>
  <c r="O16" i="3117" s="1"/>
  <c r="P16" i="3117" s="1"/>
  <c r="P23" i="3117" s="1"/>
  <c r="E30" i="3118" l="1"/>
  <c r="N16" i="3118"/>
  <c r="O16" i="3118" s="1"/>
  <c r="P16" i="3118" s="1"/>
  <c r="P23" i="3118" s="1"/>
  <c r="M44" i="3117"/>
  <c r="E10" i="3118"/>
  <c r="C44" i="3118" l="1"/>
  <c r="K44" i="3118" s="1"/>
  <c r="C30" i="3118"/>
  <c r="C37" i="3118" l="1"/>
  <c r="G30" i="3118"/>
  <c r="E37" i="3118" s="1"/>
  <c r="G37" i="3118" s="1"/>
  <c r="N44" i="3118" s="1"/>
  <c r="G10" i="3120" s="1"/>
  <c r="E30" i="3120" s="1"/>
  <c r="M44" i="3118"/>
  <c r="E10" i="3120"/>
  <c r="C44" i="3120" l="1"/>
  <c r="K44" i="3120" s="1"/>
  <c r="C30" i="3120"/>
  <c r="C37" i="3120" l="1"/>
  <c r="G30" i="3120"/>
  <c r="E37" i="3120" s="1"/>
  <c r="G37" i="3120" s="1"/>
  <c r="N44" i="3120" s="1"/>
  <c r="G10" i="3119" s="1"/>
  <c r="M44" i="3120"/>
  <c r="E10" i="3119"/>
  <c r="C44" i="3119" l="1"/>
  <c r="K44" i="3119" s="1"/>
  <c r="C30" i="3119"/>
  <c r="C37" i="3119" s="1"/>
  <c r="E30" i="3119"/>
  <c r="G30" i="3119" s="1"/>
  <c r="E37" i="3119" s="1"/>
  <c r="G37" i="3119" s="1"/>
  <c r="N44" i="3119" s="1"/>
  <c r="G10" i="3121" s="1"/>
  <c r="N16" i="3119"/>
  <c r="O16" i="3119" s="1"/>
  <c r="P16" i="3119" s="1"/>
  <c r="P23" i="3119" s="1"/>
  <c r="N17" i="3121" l="1"/>
  <c r="O17" i="3121" s="1"/>
  <c r="P17" i="3121" s="1"/>
  <c r="E30" i="3121"/>
  <c r="N16" i="3121"/>
  <c r="O16" i="3121" s="1"/>
  <c r="P16" i="3121" s="1"/>
  <c r="P23" i="3121" s="1"/>
  <c r="M44" i="3119"/>
  <c r="E10" i="3121"/>
  <c r="C44" i="3121" l="1"/>
  <c r="K44" i="3121" s="1"/>
  <c r="C30" i="3121"/>
  <c r="C37" i="3121" l="1"/>
  <c r="G30" i="3121"/>
  <c r="E37" i="3121" s="1"/>
  <c r="G37" i="3121" s="1"/>
  <c r="N44" i="3121" s="1"/>
  <c r="G10" i="3122" s="1"/>
  <c r="M44" i="3121"/>
  <c r="E10" i="3122"/>
  <c r="C44" i="3122" l="1"/>
  <c r="K44" i="3122" s="1"/>
  <c r="C30" i="3122"/>
  <c r="E30" i="3122"/>
  <c r="N16" i="3122"/>
  <c r="O16" i="3122" s="1"/>
  <c r="P16" i="3122" s="1"/>
  <c r="P23" i="3122" s="1"/>
  <c r="C37" i="3122" l="1"/>
  <c r="G30" i="3122"/>
  <c r="E37" i="3122" s="1"/>
  <c r="G37" i="3122" s="1"/>
  <c r="N44" i="3122" s="1"/>
  <c r="G10" i="3124" s="1"/>
  <c r="M44" i="3122"/>
  <c r="E10" i="3124"/>
  <c r="C44" i="3124" l="1"/>
  <c r="K44" i="3124" s="1"/>
  <c r="C30" i="3124"/>
  <c r="E30" i="3124"/>
  <c r="N16" i="3124"/>
  <c r="O16" i="3124" s="1"/>
  <c r="P16" i="3124" s="1"/>
  <c r="P23" i="3124" s="1"/>
  <c r="C37" i="3124" l="1"/>
  <c r="G30" i="3124"/>
  <c r="E37" i="3124" s="1"/>
  <c r="G37" i="3124" s="1"/>
  <c r="N44" i="3124" s="1"/>
  <c r="G10" i="3127" s="1"/>
  <c r="E30" i="3127" s="1"/>
  <c r="E10" i="3127"/>
  <c r="M44" i="3124"/>
  <c r="C44" i="3127" l="1"/>
  <c r="K44" i="3127" s="1"/>
  <c r="C30" i="3127"/>
  <c r="G30" i="3127" l="1"/>
  <c r="E37" i="3127" s="1"/>
  <c r="C37" i="3127"/>
  <c r="M44" i="3127"/>
  <c r="E10" i="3125"/>
  <c r="C44" i="3125" l="1"/>
  <c r="K44" i="3125" s="1"/>
  <c r="C30" i="3125"/>
  <c r="G37" i="3127"/>
  <c r="N44" i="3127" s="1"/>
  <c r="G10" i="3125" s="1"/>
  <c r="M44" i="3125" l="1"/>
  <c r="E10" i="3128"/>
  <c r="N16" i="3125"/>
  <c r="O16" i="3125" s="1"/>
  <c r="P16" i="3125" s="1"/>
  <c r="P23" i="3125" s="1"/>
  <c r="E30" i="3125"/>
  <c r="C37" i="3125"/>
  <c r="G30" i="3125"/>
  <c r="E37" i="3125" s="1"/>
  <c r="G37" i="3125" s="1"/>
  <c r="N44" i="3125" s="1"/>
  <c r="G10" i="3128" s="1"/>
  <c r="C44" i="3128" l="1"/>
  <c r="K44" i="3128" s="1"/>
  <c r="C30" i="3128"/>
  <c r="C37" i="3128" s="1"/>
  <c r="E30" i="3128"/>
  <c r="G30" i="3128" s="1"/>
  <c r="E37" i="3128" s="1"/>
  <c r="G37" i="3128" s="1"/>
  <c r="N44" i="3128" s="1"/>
  <c r="G10" i="3129" s="1"/>
  <c r="E30" i="3129" s="1"/>
  <c r="N16" i="3128"/>
  <c r="O16" i="3128" s="1"/>
  <c r="P16" i="3128" s="1"/>
  <c r="P23" i="3128" s="1"/>
  <c r="M44" i="3128" l="1"/>
  <c r="E10" i="3129"/>
  <c r="C44" i="3129" l="1"/>
  <c r="K44" i="3129" s="1"/>
  <c r="C30" i="3129"/>
  <c r="C37" i="3129" l="1"/>
  <c r="G30" i="3129"/>
  <c r="E37" i="3129" s="1"/>
  <c r="G37" i="3129" s="1"/>
  <c r="N44" i="3129" s="1"/>
  <c r="G10" i="3130" s="1"/>
  <c r="M44" i="3129"/>
  <c r="E10" i="3130"/>
  <c r="C44" i="3130" l="1"/>
  <c r="K44" i="3130" s="1"/>
  <c r="C30" i="3130"/>
  <c r="C37" i="3130" s="1"/>
  <c r="N17" i="3130"/>
  <c r="O17" i="3130" s="1"/>
  <c r="P17" i="3130" s="1"/>
  <c r="N16" i="3130"/>
  <c r="O16" i="3130" s="1"/>
  <c r="P16" i="3130" s="1"/>
  <c r="P23" i="3130" s="1"/>
  <c r="E30" i="3130"/>
  <c r="G30" i="3130" s="1"/>
  <c r="E37" i="3130" s="1"/>
  <c r="G37" i="3130" s="1"/>
  <c r="N44" i="3130" s="1"/>
  <c r="G10" i="3131" s="1"/>
  <c r="E30" i="3131" s="1"/>
  <c r="M44" i="3130" l="1"/>
  <c r="E10" i="3131"/>
  <c r="C44" i="3131" l="1"/>
  <c r="K44" i="3131" s="1"/>
  <c r="C30" i="3131"/>
  <c r="C37" i="3131" l="1"/>
  <c r="G30" i="3131"/>
  <c r="E37" i="3131" s="1"/>
  <c r="G37" i="3131" s="1"/>
  <c r="N44" i="3131" s="1"/>
  <c r="G10" i="3132" s="1"/>
  <c r="M44" i="3131"/>
  <c r="E10" i="3132"/>
  <c r="C44" i="3132" l="1"/>
  <c r="K44" i="3132" s="1"/>
  <c r="C30" i="3132"/>
  <c r="C37" i="3132" s="1"/>
  <c r="N17" i="3132"/>
  <c r="O17" i="3132" s="1"/>
  <c r="P17" i="3132" s="1"/>
  <c r="N16" i="3132"/>
  <c r="O16" i="3132" s="1"/>
  <c r="P16" i="3132" s="1"/>
  <c r="P23" i="3132" s="1"/>
  <c r="E30" i="3132"/>
  <c r="G30" i="3132" s="1"/>
  <c r="E37" i="3132" s="1"/>
  <c r="G37" i="3132" s="1"/>
  <c r="N44" i="3132" s="1"/>
  <c r="G10" i="3133" s="1"/>
  <c r="E30" i="3133" s="1"/>
  <c r="M44" i="3132" l="1"/>
  <c r="E10" i="3133"/>
  <c r="C44" i="3133" l="1"/>
  <c r="K44" i="3133" s="1"/>
  <c r="C30" i="3133"/>
  <c r="C37" i="3133" l="1"/>
  <c r="G30" i="3133"/>
  <c r="E37" i="3133" s="1"/>
  <c r="G37" i="3133" s="1"/>
  <c r="N44" i="3133" s="1"/>
  <c r="G10" i="3134" s="1"/>
  <c r="M44" i="3133"/>
  <c r="E10" i="3134"/>
  <c r="C44" i="3134" l="1"/>
  <c r="K44" i="3134" s="1"/>
  <c r="C30" i="3134"/>
  <c r="C37" i="3134" s="1"/>
  <c r="N19" i="3134"/>
  <c r="O19" i="3134" s="1"/>
  <c r="P19" i="3134" s="1"/>
  <c r="N18" i="3134"/>
  <c r="O18" i="3134" s="1"/>
  <c r="P18" i="3134" s="1"/>
  <c r="E30" i="3134"/>
  <c r="G30" i="3134" s="1"/>
  <c r="E37" i="3134" s="1"/>
  <c r="G37" i="3134" s="1"/>
  <c r="N44" i="3134" s="1"/>
  <c r="G10" i="3135" s="1"/>
  <c r="E30" i="3135" s="1"/>
  <c r="N17" i="3134"/>
  <c r="O17" i="3134" s="1"/>
  <c r="P17" i="3134" s="1"/>
  <c r="N16" i="3134"/>
  <c r="O16" i="3134" s="1"/>
  <c r="P16" i="3134" s="1"/>
  <c r="P23" i="3134" s="1"/>
  <c r="M44" i="3134" l="1"/>
  <c r="E10" i="3135"/>
  <c r="C44" i="3135" l="1"/>
  <c r="K44" i="3135" s="1"/>
  <c r="C30" i="3135"/>
  <c r="C37" i="3135" l="1"/>
  <c r="G30" i="3135"/>
  <c r="E37" i="3135" s="1"/>
  <c r="G37" i="3135" s="1"/>
  <c r="N44" i="3135" s="1"/>
  <c r="G10" i="3136" s="1"/>
  <c r="E30" i="3136" s="1"/>
  <c r="M44" i="3135"/>
  <c r="E10" i="3136"/>
  <c r="C44" i="3136" l="1"/>
  <c r="K44" i="3136" s="1"/>
  <c r="C30" i="3136"/>
  <c r="C37" i="3136" s="1"/>
  <c r="G30" i="3136"/>
  <c r="E37" i="3136" s="1"/>
  <c r="G37" i="3136" s="1"/>
  <c r="N44" i="3136" s="1"/>
  <c r="G10" i="3137" s="1"/>
  <c r="E30" i="3137" s="1"/>
  <c r="M44" i="3136" l="1"/>
  <c r="E10" i="3137"/>
  <c r="C44" i="3137" l="1"/>
  <c r="K44" i="3137" s="1"/>
  <c r="C30" i="3137"/>
  <c r="C37" i="3137" l="1"/>
  <c r="G30" i="3137"/>
  <c r="E37" i="3137" s="1"/>
  <c r="G37" i="3137" s="1"/>
  <c r="N44" i="3137" s="1"/>
  <c r="G10" i="3138" s="1"/>
  <c r="E30" i="3138" s="1"/>
  <c r="M44" i="3137"/>
  <c r="E10" i="3138"/>
  <c r="C44" i="3138" l="1"/>
  <c r="K44" i="3138" s="1"/>
  <c r="C30" i="3138"/>
  <c r="C37" i="3138" s="1"/>
  <c r="G30" i="3138"/>
  <c r="E37" i="3138" s="1"/>
  <c r="G37" i="3138" s="1"/>
  <c r="N44" i="3138" s="1"/>
  <c r="G10" i="3139" s="1"/>
  <c r="N17" i="3139" l="1"/>
  <c r="O17" i="3139" s="1"/>
  <c r="P17" i="3139" s="1"/>
  <c r="N16" i="3139"/>
  <c r="O16" i="3139" s="1"/>
  <c r="P16" i="3139" s="1"/>
  <c r="P23" i="3139" s="1"/>
  <c r="E30" i="3139"/>
  <c r="M44" i="3138"/>
  <c r="E10" i="3139"/>
  <c r="C44" i="3139" l="1"/>
  <c r="K44" i="3139" s="1"/>
  <c r="C30" i="3139"/>
  <c r="C37" i="3139" s="1"/>
  <c r="G30" i="3139"/>
  <c r="E37" i="3139" s="1"/>
  <c r="G37" i="3139" s="1"/>
  <c r="N44" i="3139" s="1"/>
  <c r="G10" i="3140" s="1"/>
  <c r="N18" i="3140" l="1"/>
  <c r="O18" i="3140" s="1"/>
  <c r="P18" i="3140" s="1"/>
  <c r="E30" i="3140"/>
  <c r="N17" i="3140"/>
  <c r="O17" i="3140" s="1"/>
  <c r="P17" i="3140" s="1"/>
  <c r="N16" i="3140"/>
  <c r="O16" i="3140" s="1"/>
  <c r="P16" i="3140" s="1"/>
  <c r="P23" i="3140" s="1"/>
  <c r="M44" i="3139"/>
  <c r="E10" i="3140"/>
  <c r="C44" i="3140" l="1"/>
  <c r="K44" i="3140" s="1"/>
  <c r="C30" i="3140"/>
  <c r="C37" i="3140" s="1"/>
  <c r="G30" i="3140"/>
  <c r="E37" i="3140" s="1"/>
  <c r="G37" i="3140" s="1"/>
  <c r="N44" i="3140" s="1"/>
  <c r="G10" i="3141" s="1"/>
  <c r="E30" i="3141" s="1"/>
  <c r="M44" i="3140" l="1"/>
  <c r="E10" i="3141"/>
  <c r="C44" i="3141" l="1"/>
  <c r="K44" i="3141" s="1"/>
  <c r="C30" i="3141"/>
  <c r="C37" i="3141" l="1"/>
  <c r="G30" i="3141"/>
  <c r="E37" i="3141" s="1"/>
  <c r="G37" i="3141" s="1"/>
  <c r="N44" i="3141" s="1"/>
  <c r="G10" i="3142" s="1"/>
  <c r="M44" i="3141"/>
  <c r="E10" i="3142"/>
  <c r="C44" i="3142" l="1"/>
  <c r="K44" i="3142" s="1"/>
  <c r="C30" i="3142"/>
  <c r="C37" i="3142" s="1"/>
  <c r="N19" i="3142"/>
  <c r="O19" i="3142" s="1"/>
  <c r="P19" i="3142" s="1"/>
  <c r="N18" i="3142"/>
  <c r="O18" i="3142" s="1"/>
  <c r="P18" i="3142" s="1"/>
  <c r="N17" i="3142"/>
  <c r="O17" i="3142" s="1"/>
  <c r="P17" i="3142" s="1"/>
  <c r="N16" i="3142"/>
  <c r="O16" i="3142" s="1"/>
  <c r="P16" i="3142" s="1"/>
  <c r="P23" i="3142" s="1"/>
  <c r="E30" i="3142"/>
  <c r="G30" i="3142" s="1"/>
  <c r="E37" i="3142" s="1"/>
  <c r="G37" i="3142" s="1"/>
  <c r="N44" i="3142" s="1"/>
  <c r="G10" i="3143" s="1"/>
  <c r="E30" i="3143" s="1"/>
  <c r="M44" i="3142" l="1"/>
  <c r="E10" i="3143"/>
  <c r="C44" i="3143" l="1"/>
  <c r="K44" i="3143" s="1"/>
  <c r="C30" i="3143"/>
  <c r="C37" i="3143" l="1"/>
  <c r="G30" i="3143"/>
  <c r="E37" i="3143" s="1"/>
  <c r="G37" i="3143" s="1"/>
  <c r="N44" i="3143" s="1"/>
  <c r="G10" i="3144" s="1"/>
  <c r="M44" i="3143"/>
  <c r="E10" i="3144"/>
  <c r="C44" i="3144" l="1"/>
  <c r="K44" i="3144" s="1"/>
  <c r="C30" i="3144"/>
  <c r="C37" i="3144" s="1"/>
  <c r="E30" i="3144"/>
  <c r="G30" i="3144" s="1"/>
  <c r="E37" i="3144" s="1"/>
  <c r="G37" i="3144" s="1"/>
  <c r="N44" i="3144" s="1"/>
  <c r="G10" i="3147" s="1"/>
  <c r="N18" i="3144"/>
  <c r="O18" i="3144" s="1"/>
  <c r="P18" i="3144" s="1"/>
  <c r="N17" i="3144"/>
  <c r="O17" i="3144" s="1"/>
  <c r="P17" i="3144" s="1"/>
  <c r="N16" i="3144"/>
  <c r="O16" i="3144" s="1"/>
  <c r="P16" i="3144" s="1"/>
  <c r="P23" i="3144" s="1"/>
  <c r="E30" i="3147" l="1"/>
  <c r="N16" i="3147"/>
  <c r="O16" i="3147" s="1"/>
  <c r="P16" i="3147" s="1"/>
  <c r="P23" i="3147" s="1"/>
  <c r="M44" i="3144"/>
  <c r="E10" i="3147"/>
  <c r="C44" i="3147" l="1"/>
  <c r="K44" i="3147" s="1"/>
  <c r="C30" i="3147"/>
  <c r="C37" i="3147" s="1"/>
  <c r="G30" i="3147"/>
  <c r="E37" i="3147" s="1"/>
  <c r="G37" i="3147" s="1"/>
  <c r="N44" i="3147" s="1"/>
  <c r="G10" i="3145" s="1"/>
  <c r="E30" i="3145" l="1"/>
  <c r="N16" i="3145"/>
  <c r="O16" i="3145" s="1"/>
  <c r="P16" i="3145" s="1"/>
  <c r="P23" i="3145" s="1"/>
  <c r="M44" i="3147"/>
  <c r="E10" i="3145"/>
  <c r="C44" i="3145" l="1"/>
  <c r="K44" i="3145" s="1"/>
  <c r="C30" i="3145"/>
  <c r="C37" i="3145" s="1"/>
  <c r="G30" i="3145"/>
  <c r="E37" i="3145" s="1"/>
  <c r="G37" i="3145" s="1"/>
  <c r="N44" i="3145" s="1"/>
  <c r="G10" i="3146" s="1"/>
  <c r="E30" i="3146" l="1"/>
  <c r="N16" i="3146"/>
  <c r="O16" i="3146" s="1"/>
  <c r="P16" i="3146" s="1"/>
  <c r="P23" i="3146" s="1"/>
  <c r="M44" i="3145"/>
  <c r="E10" i="3146"/>
  <c r="C44" i="3146" l="1"/>
  <c r="K44" i="3146" s="1"/>
  <c r="C30" i="3146"/>
  <c r="C37" i="3146" s="1"/>
  <c r="G30" i="3146"/>
  <c r="E37" i="3146" s="1"/>
  <c r="G37" i="3146" s="1"/>
  <c r="N44" i="3146" s="1"/>
  <c r="G10" i="3148" s="1"/>
  <c r="E30" i="3148" s="1"/>
  <c r="M44" i="3146" l="1"/>
  <c r="E10" i="3148"/>
  <c r="C44" i="3148" l="1"/>
  <c r="K44" i="3148" s="1"/>
  <c r="E10" i="3169" s="1"/>
  <c r="C30" i="3148"/>
  <c r="C44" i="3169" l="1"/>
  <c r="K44" i="3169" s="1"/>
  <c r="C30" i="3169"/>
  <c r="C37" i="3148"/>
  <c r="G30" i="3148"/>
  <c r="E37" i="3148" s="1"/>
  <c r="G37" i="3148" s="1"/>
  <c r="N44" i="3148" s="1"/>
  <c r="G10" i="3169" s="1"/>
  <c r="E30" i="3169" s="1"/>
  <c r="M44" i="3148"/>
  <c r="C37" i="3169" l="1"/>
  <c r="G30" i="3169"/>
  <c r="E37" i="3169" s="1"/>
  <c r="G37" i="3169" s="1"/>
  <c r="N44" i="3169" s="1"/>
  <c r="G10" i="3149" s="1"/>
  <c r="M44" i="3169"/>
  <c r="E10" i="3149"/>
  <c r="C44" i="3149"/>
  <c r="K44" i="3149" s="1"/>
  <c r="C30" i="3149"/>
  <c r="N18" i="3149"/>
  <c r="O18" i="3149" s="1"/>
  <c r="P18" i="3149" s="1"/>
  <c r="N17" i="3149"/>
  <c r="O17" i="3149" s="1"/>
  <c r="P17" i="3149" s="1"/>
  <c r="E30" i="3149"/>
  <c r="N16" i="3149"/>
  <c r="O16" i="3149" s="1"/>
  <c r="P16" i="3149" s="1"/>
  <c r="P23" i="3149" l="1"/>
  <c r="M44" i="3149"/>
  <c r="E10" i="3150"/>
  <c r="G30" i="3149"/>
  <c r="E37" i="3149" s="1"/>
  <c r="C37" i="3149"/>
  <c r="C44" i="3150" l="1"/>
  <c r="K44" i="3150" s="1"/>
  <c r="C30" i="3150"/>
  <c r="G37" i="3149"/>
  <c r="N44" i="3149" s="1"/>
  <c r="G10" i="3150" s="1"/>
  <c r="E30" i="3150" s="1"/>
  <c r="C37" i="3150" l="1"/>
  <c r="G30" i="3150"/>
  <c r="E37" i="3150" s="1"/>
  <c r="G37" i="3150" s="1"/>
  <c r="N44" i="3150" s="1"/>
  <c r="G10" i="3151" s="1"/>
  <c r="M44" i="3150"/>
  <c r="E10" i="3151"/>
  <c r="C44" i="3151" l="1"/>
  <c r="K44" i="3151" s="1"/>
  <c r="C30" i="3151"/>
  <c r="N17" i="3151"/>
  <c r="O17" i="3151" s="1"/>
  <c r="P17" i="3151" s="1"/>
  <c r="N16" i="3151"/>
  <c r="O16" i="3151" s="1"/>
  <c r="P16" i="3151" s="1"/>
  <c r="E30" i="3151"/>
  <c r="P23" i="3151" l="1"/>
  <c r="C37" i="3151"/>
  <c r="G30" i="3151"/>
  <c r="E37" i="3151" s="1"/>
  <c r="G37" i="3151" s="1"/>
  <c r="N44" i="3151" s="1"/>
  <c r="G10" i="3152" s="1"/>
  <c r="M44" i="3151"/>
  <c r="E10" i="3152"/>
  <c r="C44" i="3152" l="1"/>
  <c r="K44" i="3152" s="1"/>
  <c r="C30" i="3152"/>
  <c r="E30" i="3152"/>
  <c r="N16" i="3152"/>
  <c r="O16" i="3152" s="1"/>
  <c r="P16" i="3152" s="1"/>
  <c r="P23" i="3152" s="1"/>
  <c r="C37" i="3152" l="1"/>
  <c r="G30" i="3152"/>
  <c r="E37" i="3152" s="1"/>
  <c r="G37" i="3152" s="1"/>
  <c r="N44" i="3152" s="1"/>
  <c r="G10" i="3153" s="1"/>
  <c r="M44" i="3152"/>
  <c r="E10" i="3153"/>
  <c r="C44" i="3153" l="1"/>
  <c r="K44" i="3153" s="1"/>
  <c r="C30" i="3153"/>
  <c r="N17" i="3153"/>
  <c r="O17" i="3153" s="1"/>
  <c r="P17" i="3153" s="1"/>
  <c r="E30" i="3153"/>
  <c r="N16" i="3153"/>
  <c r="O16" i="3153" s="1"/>
  <c r="P16" i="3153" s="1"/>
  <c r="P23" i="3153" l="1"/>
  <c r="C37" i="3153"/>
  <c r="G30" i="3153"/>
  <c r="E37" i="3153" s="1"/>
  <c r="G37" i="3153" s="1"/>
  <c r="N44" i="3153" s="1"/>
  <c r="G10" i="3154" s="1"/>
  <c r="M44" i="3153"/>
  <c r="E10" i="3154"/>
  <c r="C44" i="3154" l="1"/>
  <c r="K44" i="3154" s="1"/>
  <c r="C30" i="3154"/>
  <c r="N18" i="3154"/>
  <c r="O18" i="3154" s="1"/>
  <c r="P18" i="3154" s="1"/>
  <c r="E30" i="3154"/>
  <c r="N17" i="3154"/>
  <c r="O17" i="3154" s="1"/>
  <c r="P17" i="3154" s="1"/>
  <c r="N16" i="3154"/>
  <c r="O16" i="3154" s="1"/>
  <c r="P16" i="3154" s="1"/>
  <c r="P23" i="3154" l="1"/>
  <c r="C37" i="3154"/>
  <c r="G30" i="3154"/>
  <c r="E37" i="3154" s="1"/>
  <c r="G37" i="3154" s="1"/>
  <c r="N44" i="3154" s="1"/>
  <c r="G10" i="3155" s="1"/>
  <c r="M44" i="3154"/>
  <c r="E10" i="3155"/>
  <c r="C44" i="3155" l="1"/>
  <c r="K44" i="3155" s="1"/>
  <c r="C30" i="3155"/>
  <c r="E30" i="3155"/>
  <c r="N16" i="3155"/>
  <c r="O16" i="3155" s="1"/>
  <c r="P16" i="3155" s="1"/>
  <c r="P23" i="3155" s="1"/>
  <c r="C37" i="3155" l="1"/>
  <c r="G30" i="3155"/>
  <c r="E37" i="3155" s="1"/>
  <c r="G37" i="3155" s="1"/>
  <c r="N44" i="3155" s="1"/>
  <c r="G10" i="3156" s="1"/>
  <c r="E30" i="3156" s="1"/>
  <c r="M44" i="3155"/>
  <c r="E10" i="3156"/>
  <c r="C44" i="3156" l="1"/>
  <c r="K44" i="3156" s="1"/>
  <c r="C30" i="3156"/>
  <c r="C37" i="3156" l="1"/>
  <c r="G30" i="3156"/>
  <c r="E37" i="3156" s="1"/>
  <c r="G37" i="3156" s="1"/>
  <c r="N44" i="3156" s="1"/>
  <c r="G10" i="3157" s="1"/>
  <c r="M44" i="3156"/>
  <c r="E10" i="3157"/>
  <c r="C44" i="3157" l="1"/>
  <c r="K44" i="3157" s="1"/>
  <c r="C30" i="3157"/>
  <c r="N18" i="3157"/>
  <c r="O18" i="3157" s="1"/>
  <c r="P18" i="3157" s="1"/>
  <c r="N17" i="3157"/>
  <c r="O17" i="3157" s="1"/>
  <c r="P17" i="3157" s="1"/>
  <c r="E30" i="3157"/>
  <c r="N16" i="3157"/>
  <c r="O16" i="3157" s="1"/>
  <c r="P16" i="3157" s="1"/>
  <c r="P23" i="3157" l="1"/>
  <c r="C37" i="3157"/>
  <c r="G30" i="3157"/>
  <c r="E37" i="3157" s="1"/>
  <c r="M44" i="3157"/>
  <c r="E10" i="3159"/>
  <c r="G37" i="3157" l="1"/>
  <c r="N44" i="3157" s="1"/>
  <c r="G10" i="3159" s="1"/>
  <c r="E30" i="3159" s="1"/>
  <c r="C44" i="3159"/>
  <c r="K44" i="3159" s="1"/>
  <c r="C30" i="3159"/>
  <c r="C37" i="3159" l="1"/>
  <c r="G30" i="3159"/>
  <c r="E37" i="3159" s="1"/>
  <c r="M44" i="3159"/>
  <c r="E10" i="3158"/>
  <c r="G37" i="3159" l="1"/>
  <c r="N44" i="3159" s="1"/>
  <c r="G10" i="3158" s="1"/>
  <c r="E30" i="3158" s="1"/>
  <c r="C44" i="3158"/>
  <c r="K44" i="3158" s="1"/>
  <c r="E10" i="3174" s="1"/>
  <c r="C30" i="3158"/>
  <c r="N17" i="3158"/>
  <c r="O17" i="3158" s="1"/>
  <c r="P17" i="3158" s="1"/>
  <c r="N16" i="3158"/>
  <c r="O16" i="3158" s="1"/>
  <c r="P16" i="3158" s="1"/>
  <c r="N18" i="3158" l="1"/>
  <c r="O18" i="3158" s="1"/>
  <c r="P18" i="3158" s="1"/>
  <c r="P23" i="3158" s="1"/>
  <c r="C30" i="3174"/>
  <c r="C44" i="3174"/>
  <c r="K44" i="3174" s="1"/>
  <c r="C37" i="3158"/>
  <c r="G30" i="3158"/>
  <c r="E37" i="3158" s="1"/>
  <c r="G37" i="3158" s="1"/>
  <c r="N44" i="3158" s="1"/>
  <c r="G10" i="3174" s="1"/>
  <c r="E30" i="3174" s="1"/>
  <c r="M44" i="3158"/>
  <c r="G30" i="3174" l="1"/>
  <c r="E37" i="3174" s="1"/>
  <c r="C37" i="3174"/>
  <c r="M44" i="3174"/>
  <c r="E10" i="3160"/>
  <c r="C30" i="3160" s="1"/>
  <c r="C44" i="3160" l="1"/>
  <c r="K44" i="3160" s="1"/>
  <c r="E10" i="3161" s="1"/>
  <c r="G37" i="3174"/>
  <c r="N44" i="3174" s="1"/>
  <c r="G10" i="3160" s="1"/>
  <c r="C37" i="3160"/>
  <c r="M44" i="3160" l="1"/>
  <c r="N17" i="3160"/>
  <c r="O17" i="3160" s="1"/>
  <c r="P17" i="3160" s="1"/>
  <c r="E30" i="3160"/>
  <c r="G30" i="3160" s="1"/>
  <c r="E37" i="3160" s="1"/>
  <c r="G37" i="3160" s="1"/>
  <c r="N44" i="3160" s="1"/>
  <c r="G10" i="3161" s="1"/>
  <c r="E30" i="3161" s="1"/>
  <c r="N16" i="3160"/>
  <c r="O16" i="3160" s="1"/>
  <c r="P16" i="3160" s="1"/>
  <c r="C44" i="3161"/>
  <c r="K44" i="3161" s="1"/>
  <c r="C30" i="3161"/>
  <c r="P23" i="3160" l="1"/>
  <c r="C37" i="3161"/>
  <c r="G30" i="3161"/>
  <c r="E37" i="3161" s="1"/>
  <c r="M44" i="3161"/>
  <c r="E10" i="3162"/>
  <c r="G37" i="3161" l="1"/>
  <c r="N44" i="3161" s="1"/>
  <c r="G10" i="3162" s="1"/>
  <c r="N16" i="3162" s="1"/>
  <c r="O16" i="3162" s="1"/>
  <c r="P16" i="3162" s="1"/>
  <c r="P23" i="3162" s="1"/>
  <c r="C44" i="3162"/>
  <c r="K44" i="3162" s="1"/>
  <c r="C30" i="3162"/>
  <c r="E30" i="3162" l="1"/>
  <c r="C37" i="3162"/>
  <c r="G30" i="3162"/>
  <c r="E37" i="3162" s="1"/>
  <c r="G37" i="3162" s="1"/>
  <c r="N44" i="3162" s="1"/>
  <c r="G10" i="3164" s="1"/>
  <c r="E30" i="3164" s="1"/>
  <c r="M44" i="3162"/>
  <c r="E10" i="3164"/>
  <c r="C44" i="3164" l="1"/>
  <c r="K44" i="3164" s="1"/>
  <c r="C30" i="3164"/>
  <c r="C37" i="3164" l="1"/>
  <c r="G30" i="3164"/>
  <c r="E37" i="3164" s="1"/>
  <c r="M44" i="3164"/>
  <c r="E10" i="3163"/>
  <c r="G37" i="3164" l="1"/>
  <c r="N44" i="3164" s="1"/>
  <c r="G10" i="3163" s="1"/>
  <c r="N17" i="3163" s="1"/>
  <c r="O17" i="3163" s="1"/>
  <c r="P17" i="3163" s="1"/>
  <c r="C44" i="3163"/>
  <c r="K44" i="3163" s="1"/>
  <c r="C30" i="3163"/>
  <c r="N16" i="3163" l="1"/>
  <c r="O16" i="3163" s="1"/>
  <c r="P16" i="3163" s="1"/>
  <c r="P23" i="3163" s="1"/>
  <c r="E30" i="3163"/>
  <c r="G30" i="3163" s="1"/>
  <c r="E37" i="3163" s="1"/>
  <c r="C37" i="3163"/>
  <c r="M44" i="3163"/>
  <c r="E10" i="3165"/>
  <c r="G37" i="3163" l="1"/>
  <c r="N44" i="3163" s="1"/>
  <c r="G10" i="3165" s="1"/>
  <c r="E30" i="3165" s="1"/>
  <c r="C44" i="3165"/>
  <c r="K44" i="3165" s="1"/>
  <c r="C30" i="3165"/>
  <c r="N17" i="3165" l="1"/>
  <c r="O17" i="3165" s="1"/>
  <c r="P17" i="3165" s="1"/>
  <c r="N18" i="3165"/>
  <c r="O18" i="3165" s="1"/>
  <c r="P18" i="3165" s="1"/>
  <c r="N19" i="3165"/>
  <c r="O19" i="3165" s="1"/>
  <c r="P19" i="3165" s="1"/>
  <c r="N16" i="3165"/>
  <c r="O16" i="3165" s="1"/>
  <c r="P16" i="3165" s="1"/>
  <c r="C37" i="3165"/>
  <c r="G30" i="3165"/>
  <c r="E37" i="3165" s="1"/>
  <c r="G37" i="3165" s="1"/>
  <c r="N44" i="3165" s="1"/>
  <c r="G10" i="3166" s="1"/>
  <c r="M44" i="3165"/>
  <c r="E10" i="3166"/>
  <c r="P23" i="3165" l="1"/>
  <c r="C44" i="3166"/>
  <c r="K44" i="3166" s="1"/>
  <c r="C30" i="3166"/>
  <c r="E30" i="3166"/>
  <c r="N17" i="3166"/>
  <c r="O17" i="3166" s="1"/>
  <c r="P17" i="3166" s="1"/>
  <c r="N16" i="3166"/>
  <c r="O16" i="3166" s="1"/>
  <c r="P16" i="3166" s="1"/>
  <c r="P23" i="3166" l="1"/>
  <c r="C37" i="3166"/>
  <c r="G30" i="3166"/>
  <c r="E37" i="3166" s="1"/>
  <c r="M44" i="3166"/>
  <c r="E10" i="3168"/>
  <c r="G37" i="3166" l="1"/>
  <c r="N44" i="3166" s="1"/>
  <c r="G10" i="3168" s="1"/>
  <c r="E30" i="3168" s="1"/>
  <c r="C44" i="3168"/>
  <c r="K44" i="3168" s="1"/>
  <c r="C30" i="3168"/>
  <c r="C37" i="3168" l="1"/>
  <c r="G30" i="3168"/>
  <c r="E37" i="3168" s="1"/>
  <c r="M44" i="3168"/>
  <c r="E10" i="3167"/>
  <c r="G37" i="3168" l="1"/>
  <c r="N44" i="3168" s="1"/>
  <c r="G10" i="3167" s="1"/>
  <c r="E30" i="3167" s="1"/>
  <c r="C44" i="3167"/>
  <c r="K44" i="3167" s="1"/>
  <c r="C30" i="3167"/>
  <c r="N16" i="3167" l="1"/>
  <c r="O16" i="3167" s="1"/>
  <c r="P16" i="3167" s="1"/>
  <c r="P23" i="3167" s="1"/>
  <c r="M44" i="3167"/>
  <c r="E10" i="3170"/>
  <c r="C37" i="3167"/>
  <c r="G30" i="3167"/>
  <c r="E37" i="3167" s="1"/>
  <c r="G37" i="3167" s="1"/>
  <c r="N44" i="3167" s="1"/>
  <c r="G10" i="3170" s="1"/>
  <c r="E30" i="3170" s="1"/>
  <c r="C44" i="3170" l="1"/>
  <c r="K44" i="3170" s="1"/>
  <c r="C30" i="3170"/>
  <c r="C37" i="3170" s="1"/>
  <c r="M44" i="3170" l="1"/>
  <c r="E10" i="3171"/>
  <c r="G30" i="3170"/>
  <c r="E37" i="3170" s="1"/>
  <c r="G37" i="3170" s="1"/>
  <c r="N44" i="3170" s="1"/>
  <c r="G10" i="3171" s="1"/>
  <c r="N16" i="3171" l="1"/>
  <c r="O16" i="3171" s="1"/>
  <c r="P16" i="3171" s="1"/>
  <c r="P23" i="3171" s="1"/>
  <c r="E30" i="3171"/>
  <c r="C30" i="3171"/>
  <c r="C37" i="3171" s="1"/>
  <c r="C44" i="3171"/>
  <c r="K44" i="3171" s="1"/>
  <c r="M44" i="3171" l="1"/>
  <c r="E10" i="3172"/>
  <c r="G30" i="3171"/>
  <c r="E37" i="3171" s="1"/>
  <c r="G37" i="3171" s="1"/>
  <c r="N44" i="3171" s="1"/>
  <c r="G10" i="3172" s="1"/>
  <c r="E30" i="3172" s="1"/>
  <c r="C30" i="3172" l="1"/>
  <c r="C37" i="3172" s="1"/>
  <c r="C44" i="3172"/>
  <c r="K44" i="3172" s="1"/>
  <c r="E10" i="3175" s="1"/>
  <c r="C44" i="3175" l="1"/>
  <c r="K44" i="3175" s="1"/>
  <c r="M44" i="3175" s="1"/>
  <c r="C30" i="3175"/>
  <c r="M44" i="3172"/>
  <c r="G30" i="3172"/>
  <c r="E37" i="3172" s="1"/>
  <c r="G37" i="3172" s="1"/>
  <c r="N44" i="3172" s="1"/>
  <c r="G10" i="3175" s="1"/>
  <c r="E30" i="3175" l="1"/>
  <c r="N16" i="3175"/>
  <c r="O16" i="3175" s="1"/>
  <c r="P16" i="3175" s="1"/>
  <c r="P23" i="3175" s="1"/>
  <c r="G30" i="3175"/>
  <c r="E37" i="3175" s="1"/>
  <c r="C37" i="3175"/>
  <c r="G37" i="3175" l="1"/>
  <c r="N44" i="3175" s="1"/>
</calcChain>
</file>

<file path=xl/sharedStrings.xml><?xml version="1.0" encoding="utf-8"?>
<sst xmlns="http://schemas.openxmlformats.org/spreadsheetml/2006/main" count="15651" uniqueCount="129">
  <si>
    <t>◈ KK저장소 복합단가 운영표 - 침산저장소</t>
    <phoneticPr fontId="2" type="noConversion"/>
  </si>
  <si>
    <t xml:space="preserve">이 월 재 고 </t>
    <phoneticPr fontId="2" type="noConversion"/>
  </si>
  <si>
    <t>[단위:리터/원]</t>
    <phoneticPr fontId="2" type="noConversion"/>
  </si>
  <si>
    <t>유종</t>
    <phoneticPr fontId="2" type="noConversion"/>
  </si>
  <si>
    <t>탱크용량</t>
    <phoneticPr fontId="2" type="noConversion"/>
  </si>
  <si>
    <t>재고수량</t>
    <phoneticPr fontId="2" type="noConversion"/>
  </si>
  <si>
    <t>재고율</t>
    <phoneticPr fontId="2" type="noConversion"/>
  </si>
  <si>
    <t>단가</t>
    <phoneticPr fontId="2" type="noConversion"/>
  </si>
  <si>
    <t>G</t>
    <phoneticPr fontId="2" type="noConversion"/>
  </si>
  <si>
    <t>K</t>
    <phoneticPr fontId="2" type="noConversion"/>
  </si>
  <si>
    <t xml:space="preserve"> </t>
    <phoneticPr fontId="2" type="noConversion"/>
  </si>
  <si>
    <t>D</t>
    <phoneticPr fontId="2" type="noConversion"/>
  </si>
  <si>
    <t>출고내역(K)</t>
    <phoneticPr fontId="2" type="noConversion"/>
  </si>
  <si>
    <t>출고내역(LD)</t>
    <phoneticPr fontId="2" type="noConversion"/>
  </si>
  <si>
    <t>일반매출(사내이관 포함)</t>
    <phoneticPr fontId="2" type="noConversion"/>
  </si>
  <si>
    <t>거래처명</t>
    <phoneticPr fontId="2" type="noConversion"/>
  </si>
  <si>
    <t>수량</t>
    <phoneticPr fontId="2" type="noConversion"/>
  </si>
  <si>
    <t>출고단가</t>
    <phoneticPr fontId="2" type="noConversion"/>
  </si>
  <si>
    <t>재고단가</t>
    <phoneticPr fontId="2" type="noConversion"/>
  </si>
  <si>
    <t>단가차액</t>
    <phoneticPr fontId="2" type="noConversion"/>
  </si>
  <si>
    <t>이익</t>
    <phoneticPr fontId="2" type="noConversion"/>
  </si>
  <si>
    <t>실내
등유</t>
    <phoneticPr fontId="2" type="noConversion"/>
  </si>
  <si>
    <t/>
  </si>
  <si>
    <t>경유</t>
    <phoneticPr fontId="2" type="noConversion"/>
  </si>
  <si>
    <t>소 계</t>
    <phoneticPr fontId="2" type="noConversion"/>
  </si>
  <si>
    <t>마 감 재 고</t>
    <phoneticPr fontId="2" type="noConversion"/>
  </si>
  <si>
    <t xml:space="preserve">입 고 내 역 </t>
    <phoneticPr fontId="2" type="noConversion"/>
  </si>
  <si>
    <t>환산금액</t>
    <phoneticPr fontId="2" type="noConversion"/>
  </si>
  <si>
    <t>사입단가</t>
    <phoneticPr fontId="2" type="noConversion"/>
  </si>
  <si>
    <t>복 합 단 가</t>
    <phoneticPr fontId="2" type="noConversion"/>
  </si>
  <si>
    <t>금액</t>
    <phoneticPr fontId="2" type="noConversion"/>
  </si>
  <si>
    <t>별도 보관물량(국세청 제외)</t>
  </si>
  <si>
    <t>재 고 현 황</t>
    <phoneticPr fontId="2" type="noConversion"/>
  </si>
  <si>
    <t>전일</t>
    <phoneticPr fontId="2" type="noConversion"/>
  </si>
  <si>
    <t>금일</t>
    <phoneticPr fontId="2" type="noConversion"/>
  </si>
  <si>
    <t>복합단가</t>
    <phoneticPr fontId="2" type="noConversion"/>
  </si>
  <si>
    <t>증감</t>
    <phoneticPr fontId="2" type="noConversion"/>
  </si>
  <si>
    <t>재고</t>
    <phoneticPr fontId="2" type="noConversion"/>
  </si>
  <si>
    <t>입고</t>
  </si>
  <si>
    <t>출고</t>
    <phoneticPr fontId="2" type="noConversion"/>
  </si>
  <si>
    <t>휘발유</t>
    <phoneticPr fontId="2" type="noConversion"/>
  </si>
  <si>
    <t>등  유</t>
    <phoneticPr fontId="2" type="noConversion"/>
  </si>
  <si>
    <t>경  유</t>
    <phoneticPr fontId="2" type="noConversion"/>
  </si>
  <si>
    <t>복합단가의 재고수량과 단가는 보관물량 제외니 참고해주세요!</t>
  </si>
  <si>
    <t>새양개발</t>
  </si>
  <si>
    <t>신광</t>
  </si>
  <si>
    <t>1대</t>
  </si>
  <si>
    <t>4대</t>
  </si>
  <si>
    <t>성서고속</t>
  </si>
  <si>
    <t>보관출고증감</t>
  </si>
  <si>
    <t>3대</t>
  </si>
  <si>
    <t>신광 56천</t>
  </si>
  <si>
    <t>2대출고</t>
  </si>
  <si>
    <t>&lt;&lt;11월, 12월 경질유인센</t>
    <phoneticPr fontId="2" type="noConversion"/>
  </si>
  <si>
    <t>2대</t>
  </si>
  <si>
    <t>12월 31일</t>
  </si>
  <si>
    <t>01월 02일</t>
  </si>
  <si>
    <t>신광 28천</t>
  </si>
  <si>
    <t>1대출고</t>
  </si>
  <si>
    <t>세양개발</t>
    <phoneticPr fontId="2" type="noConversion"/>
  </si>
  <si>
    <t>01월 05일</t>
  </si>
  <si>
    <t>&lt;&lt;증감처리</t>
    <phoneticPr fontId="2" type="noConversion"/>
  </si>
  <si>
    <t>01월 07일</t>
    <phoneticPr fontId="2" type="noConversion"/>
  </si>
  <si>
    <t>침산2</t>
  </si>
  <si>
    <t>세양개발</t>
  </si>
  <si>
    <t>중앙2</t>
  </si>
  <si>
    <t>신라</t>
  </si>
  <si>
    <t>영강</t>
  </si>
  <si>
    <t>침산</t>
  </si>
  <si>
    <t>용두</t>
  </si>
  <si>
    <t>가산고속</t>
  </si>
  <si>
    <t>예스구미</t>
  </si>
  <si>
    <t>금호</t>
  </si>
  <si>
    <t>유성</t>
  </si>
  <si>
    <t>코리아</t>
  </si>
  <si>
    <t>03월 04일</t>
  </si>
  <si>
    <t>성진</t>
    <phoneticPr fontId="2" type="noConversion"/>
  </si>
  <si>
    <t xml:space="preserve">  &lt;&lt;26년 1분기 IB  </t>
  </si>
  <si>
    <t>예스구미</t>
    <phoneticPr fontId="2" type="noConversion"/>
  </si>
  <si>
    <t>한성</t>
    <phoneticPr fontId="2" type="noConversion"/>
  </si>
  <si>
    <t>감로화</t>
  </si>
  <si>
    <t>성진</t>
  </si>
  <si>
    <t>시험계기</t>
  </si>
  <si>
    <t>동양이룸</t>
  </si>
  <si>
    <t>경원</t>
  </si>
  <si>
    <t>별빛</t>
  </si>
  <si>
    <t>동양물량&gt;&gt; 남은 178천은 1645.20 가격으로 진행</t>
  </si>
  <si>
    <t>동양</t>
  </si>
  <si>
    <t>동양(3/20)</t>
  </si>
  <si>
    <t>&lt;&lt; 3/20 출고 → 3/19 단가로 출고</t>
  </si>
  <si>
    <t>독도사랑</t>
  </si>
  <si>
    <t>세양개박</t>
  </si>
  <si>
    <t>시험주유</t>
  </si>
  <si>
    <t xml:space="preserve"> &lt;&lt; 4/5 동양이룸 입고 같이 잡음</t>
  </si>
  <si>
    <t>독도사랑24</t>
  </si>
  <si>
    <t>독도사랑13</t>
  </si>
  <si>
    <t>동양이룸</t>
    <phoneticPr fontId="2" type="noConversion"/>
  </si>
  <si>
    <t>논공현대</t>
  </si>
  <si>
    <t>하빈대교</t>
  </si>
  <si>
    <t>안동중앙</t>
  </si>
  <si>
    <t>중앙</t>
  </si>
  <si>
    <t>고유가 +30원 Inc.</t>
    <phoneticPr fontId="2" type="noConversion"/>
  </si>
  <si>
    <t>26.03~04 경질유Inc.</t>
    <phoneticPr fontId="2" type="noConversion"/>
  </si>
  <si>
    <t>26년 PI</t>
    <phoneticPr fontId="2" type="noConversion"/>
  </si>
  <si>
    <t>반가운</t>
  </si>
  <si>
    <t>&gt;&gt; 3/30 정제 경유 재사입 (26,020 &gt;&gt; 25,021)</t>
    <phoneticPr fontId="2" type="noConversion"/>
  </si>
  <si>
    <t>5월 고유가 +\30</t>
    <phoneticPr fontId="2" type="noConversion"/>
  </si>
  <si>
    <t>26년 2Q PI</t>
    <phoneticPr fontId="2" type="noConversion"/>
  </si>
  <si>
    <t>추가보전</t>
    <phoneticPr fontId="2" type="noConversion"/>
  </si>
  <si>
    <t>대구염색공단</t>
  </si>
  <si>
    <t>푸른주유소</t>
  </si>
  <si>
    <t>6월 고유가 +80</t>
  </si>
  <si>
    <t>추가보전</t>
  </si>
  <si>
    <t>미니에너지
(용계) 5340</t>
  </si>
  <si>
    <t>미니에너지
(침산) 5341</t>
  </si>
  <si>
    <t>미니에너지
(경산) 5342</t>
  </si>
  <si>
    <t>미니에너지(침산)
5341</t>
  </si>
  <si>
    <t>미니에너지(창원)
5344</t>
  </si>
  <si>
    <t>미니에너지(경산)
5342</t>
  </si>
  <si>
    <t>미니에너지(용계)
5340</t>
  </si>
  <si>
    <t>신광보관재고</t>
  </si>
  <si>
    <t>5대</t>
  </si>
  <si>
    <t>염색관리공단</t>
  </si>
  <si>
    <t>유성</t>
    <phoneticPr fontId="2" type="noConversion"/>
  </si>
  <si>
    <t>안동중앙</t>
    <phoneticPr fontId="2" type="noConversion"/>
  </si>
  <si>
    <t>성서고속</t>
    <phoneticPr fontId="2" type="noConversion"/>
  </si>
  <si>
    <t>강나루</t>
  </si>
  <si>
    <t>삼보</t>
  </si>
  <si>
    <t>대망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</si>
</sst>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.00_-;\-* #,##0.00_-;_-* &quot;-&quot;_-;_-@_-"/>
    <numFmt numFmtId="178" formatCode="mm&quot;월&quot;\ dd&quot;일&quot;"/>
    <numFmt numFmtId="179" formatCode="#,##0_ "/>
  </numFmts>
  <fonts count="3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b/>
      <i/>
      <sz val="22"/>
      <name val="맑은 고딕"/>
      <family val="3"/>
      <charset val="129"/>
      <scheme val="major"/>
    </font>
    <font>
      <i/>
      <sz val="11"/>
      <name val="맑은 고딕"/>
      <family val="3"/>
      <charset val="129"/>
      <scheme val="major"/>
    </font>
    <font>
      <b/>
      <i/>
      <sz val="8"/>
      <name val="맑은 고딕"/>
      <family val="3"/>
      <charset val="129"/>
      <scheme val="major"/>
    </font>
    <font>
      <b/>
      <i/>
      <sz val="14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i/>
      <sz val="14"/>
      <color theme="0"/>
      <name val="맑은 고딕"/>
      <family val="3"/>
      <charset val="129"/>
      <scheme val="major"/>
    </font>
    <font>
      <b/>
      <i/>
      <sz val="14"/>
      <color indexed="9"/>
      <name val="맑은 고딕"/>
      <family val="3"/>
      <charset val="129"/>
      <scheme val="major"/>
    </font>
    <font>
      <b/>
      <i/>
      <sz val="11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rgb="FF000000"/>
      <name val="Malgun Gothic"/>
      <family val="3"/>
      <charset val="129"/>
    </font>
    <font>
      <sz val="11"/>
      <color rgb="FF242424"/>
      <name val="Aptos Narrow"/>
      <family val="3"/>
      <charset val="129"/>
    </font>
    <font>
      <i/>
      <sz val="10"/>
      <name val="맑은 고딕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8" borderId="55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0" borderId="56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8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2" borderId="57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11" fillId="0" borderId="58" applyNumberFormat="0" applyFill="0" applyAlignment="0" applyProtection="0">
      <alignment vertical="center"/>
    </xf>
    <xf numFmtId="0" fontId="12" fillId="0" borderId="59" applyNumberFormat="0" applyFill="0" applyAlignment="0" applyProtection="0">
      <alignment vertical="center"/>
    </xf>
    <xf numFmtId="0" fontId="13" fillId="33" borderId="5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0" applyNumberFormat="0" applyFill="0" applyAlignment="0" applyProtection="0">
      <alignment vertical="center"/>
    </xf>
    <xf numFmtId="0" fontId="16" fillId="0" borderId="61" applyNumberFormat="0" applyFill="0" applyAlignment="0" applyProtection="0">
      <alignment vertical="center"/>
    </xf>
    <xf numFmtId="0" fontId="17" fillId="0" borderId="6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28" borderId="63" applyNumberFormat="0" applyAlignment="0" applyProtection="0">
      <alignment vertical="center"/>
    </xf>
    <xf numFmtId="0" fontId="3" fillId="0" borderId="0">
      <alignment vertical="center"/>
    </xf>
  </cellStyleXfs>
  <cellXfs count="254">
    <xf numFmtId="0" fontId="0" fillId="0" borderId="0" xfId="0"/>
    <xf numFmtId="0" fontId="20" fillId="0" borderId="0" xfId="0" applyFont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horizontal="right"/>
    </xf>
    <xf numFmtId="0" fontId="25" fillId="0" borderId="0" xfId="0" applyFont="1" applyAlignment="1">
      <alignment horizontal="center" vertical="center"/>
    </xf>
    <xf numFmtId="41" fontId="26" fillId="0" borderId="2" xfId="33" applyFont="1" applyFill="1" applyBorder="1" applyAlignment="1">
      <alignment vertical="center"/>
    </xf>
    <xf numFmtId="41" fontId="26" fillId="0" borderId="0" xfId="33" applyFont="1" applyFill="1" applyBorder="1" applyAlignment="1">
      <alignment horizontal="center" vertical="center"/>
    </xf>
    <xf numFmtId="41" fontId="26" fillId="0" borderId="0" xfId="33" applyFont="1" applyFill="1" applyBorder="1" applyAlignment="1">
      <alignment vertical="center"/>
    </xf>
    <xf numFmtId="9" fontId="26" fillId="0" borderId="0" xfId="29" applyFont="1" applyFill="1" applyBorder="1" applyAlignment="1">
      <alignment vertical="center"/>
    </xf>
    <xf numFmtId="41" fontId="26" fillId="0" borderId="4" xfId="33" applyFont="1" applyFill="1" applyBorder="1" applyAlignment="1">
      <alignment vertical="center"/>
    </xf>
    <xf numFmtId="177" fontId="27" fillId="0" borderId="5" xfId="33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6" fillId="0" borderId="6" xfId="0" applyFont="1" applyBorder="1" applyAlignment="1">
      <alignment horizontal="center" vertical="center"/>
    </xf>
    <xf numFmtId="41" fontId="21" fillId="0" borderId="2" xfId="33" applyFont="1" applyFill="1" applyBorder="1" applyAlignment="1">
      <alignment vertical="center"/>
    </xf>
    <xf numFmtId="41" fontId="21" fillId="0" borderId="0" xfId="33" applyFont="1" applyFill="1" applyBorder="1" applyAlignment="1">
      <alignment horizontal="center" vertical="center"/>
    </xf>
    <xf numFmtId="41" fontId="21" fillId="0" borderId="0" xfId="33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1" fillId="0" borderId="9" xfId="0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41" fontId="21" fillId="2" borderId="0" xfId="33" applyFont="1" applyFill="1" applyBorder="1" applyAlignment="1">
      <alignment vertical="center"/>
    </xf>
    <xf numFmtId="0" fontId="26" fillId="2" borderId="0" xfId="0" applyFont="1" applyFill="1" applyAlignment="1">
      <alignment horizontal="center" vertical="center"/>
    </xf>
    <xf numFmtId="41" fontId="26" fillId="2" borderId="0" xfId="33" applyFont="1" applyFill="1" applyBorder="1" applyAlignment="1">
      <alignment vertical="center"/>
    </xf>
    <xf numFmtId="0" fontId="26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2" borderId="0" xfId="0" applyFont="1" applyFill="1" applyAlignment="1">
      <alignment horizontal="left" vertical="center"/>
    </xf>
    <xf numFmtId="9" fontId="21" fillId="0" borderId="0" xfId="29" applyFont="1" applyFill="1" applyBorder="1" applyAlignment="1">
      <alignment vertical="center"/>
    </xf>
    <xf numFmtId="176" fontId="21" fillId="0" borderId="0" xfId="33" applyNumberFormat="1" applyFont="1" applyFill="1" applyBorder="1" applyAlignment="1">
      <alignment vertical="center"/>
    </xf>
    <xf numFmtId="0" fontId="26" fillId="35" borderId="10" xfId="0" applyFont="1" applyFill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 wrapText="1"/>
    </xf>
    <xf numFmtId="41" fontId="21" fillId="0" borderId="15" xfId="33" applyFont="1" applyFill="1" applyBorder="1" applyAlignment="1">
      <alignment vertical="center"/>
    </xf>
    <xf numFmtId="0" fontId="26" fillId="35" borderId="16" xfId="0" applyFont="1" applyFill="1" applyBorder="1" applyAlignment="1">
      <alignment horizontal="center" vertical="center"/>
    </xf>
    <xf numFmtId="0" fontId="26" fillId="35" borderId="17" xfId="0" applyFont="1" applyFill="1" applyBorder="1" applyAlignment="1">
      <alignment horizontal="center" vertical="center"/>
    </xf>
    <xf numFmtId="0" fontId="26" fillId="35" borderId="18" xfId="0" applyFont="1" applyFill="1" applyBorder="1" applyAlignment="1">
      <alignment horizontal="center" vertical="center"/>
    </xf>
    <xf numFmtId="41" fontId="26" fillId="35" borderId="19" xfId="33" applyFont="1" applyFill="1" applyBorder="1" applyAlignment="1">
      <alignment vertical="center"/>
    </xf>
    <xf numFmtId="9" fontId="26" fillId="35" borderId="2" xfId="29" applyFont="1" applyFill="1" applyBorder="1" applyAlignment="1">
      <alignment vertical="center"/>
    </xf>
    <xf numFmtId="41" fontId="26" fillId="35" borderId="20" xfId="33" applyFont="1" applyFill="1" applyBorder="1" applyAlignment="1">
      <alignment vertical="center"/>
    </xf>
    <xf numFmtId="9" fontId="26" fillId="35" borderId="4" xfId="29" applyFont="1" applyFill="1" applyBorder="1" applyAlignment="1">
      <alignment vertical="center"/>
    </xf>
    <xf numFmtId="41" fontId="21" fillId="0" borderId="22" xfId="33" applyFont="1" applyFill="1" applyBorder="1" applyAlignment="1">
      <alignment vertical="center"/>
    </xf>
    <xf numFmtId="0" fontId="29" fillId="0" borderId="23" xfId="0" applyFont="1" applyBorder="1" applyAlignment="1">
      <alignment horizontal="center" vertical="center"/>
    </xf>
    <xf numFmtId="0" fontId="20" fillId="35" borderId="24" xfId="0" applyFont="1" applyFill="1" applyBorder="1" applyAlignment="1">
      <alignment horizontal="center" vertical="center"/>
    </xf>
    <xf numFmtId="0" fontId="20" fillId="35" borderId="25" xfId="0" applyFont="1" applyFill="1" applyBorder="1" applyAlignment="1">
      <alignment horizontal="center" vertical="center" wrapText="1"/>
    </xf>
    <xf numFmtId="0" fontId="20" fillId="35" borderId="26" xfId="0" applyFont="1" applyFill="1" applyBorder="1" applyAlignment="1">
      <alignment horizontal="center" vertical="center" wrapText="1"/>
    </xf>
    <xf numFmtId="0" fontId="20" fillId="35" borderId="27" xfId="0" applyFont="1" applyFill="1" applyBorder="1" applyAlignment="1">
      <alignment horizontal="center" vertical="center"/>
    </xf>
    <xf numFmtId="0" fontId="20" fillId="35" borderId="28" xfId="0" applyFont="1" applyFill="1" applyBorder="1" applyAlignment="1">
      <alignment horizontal="center"/>
    </xf>
    <xf numFmtId="0" fontId="23" fillId="35" borderId="29" xfId="0" applyFont="1" applyFill="1" applyBorder="1" applyAlignment="1">
      <alignment horizontal="center"/>
    </xf>
    <xf numFmtId="0" fontId="20" fillId="35" borderId="5" xfId="0" applyFont="1" applyFill="1" applyBorder="1" applyAlignment="1">
      <alignment horizontal="center" vertical="center" wrapText="1"/>
    </xf>
    <xf numFmtId="0" fontId="20" fillId="35" borderId="30" xfId="0" applyFont="1" applyFill="1" applyBorder="1" applyAlignment="1">
      <alignment horizontal="center" vertical="center"/>
    </xf>
    <xf numFmtId="0" fontId="20" fillId="35" borderId="31" xfId="0" applyFont="1" applyFill="1" applyBorder="1" applyAlignment="1">
      <alignment horizontal="center" vertical="center"/>
    </xf>
    <xf numFmtId="41" fontId="23" fillId="35" borderId="32" xfId="33" applyFont="1" applyFill="1" applyBorder="1" applyAlignment="1">
      <alignment horizontal="center" vertical="center"/>
    </xf>
    <xf numFmtId="41" fontId="23" fillId="35" borderId="32" xfId="29" applyNumberFormat="1" applyFont="1" applyFill="1" applyBorder="1" applyAlignment="1">
      <alignment vertical="center"/>
    </xf>
    <xf numFmtId="41" fontId="23" fillId="35" borderId="33" xfId="33" applyFont="1" applyFill="1" applyBorder="1" applyAlignment="1">
      <alignment vertical="center"/>
    </xf>
    <xf numFmtId="176" fontId="23" fillId="35" borderId="33" xfId="33" applyNumberFormat="1" applyFont="1" applyFill="1" applyBorder="1" applyAlignment="1">
      <alignment vertical="center"/>
    </xf>
    <xf numFmtId="0" fontId="20" fillId="35" borderId="25" xfId="0" applyFont="1" applyFill="1" applyBorder="1" applyAlignment="1">
      <alignment horizontal="center" vertical="center"/>
    </xf>
    <xf numFmtId="41" fontId="23" fillId="35" borderId="3" xfId="33" applyFont="1" applyFill="1" applyBorder="1" applyAlignment="1">
      <alignment horizontal="center" vertical="center"/>
    </xf>
    <xf numFmtId="9" fontId="23" fillId="35" borderId="3" xfId="29" applyFont="1" applyFill="1" applyBorder="1" applyAlignment="1">
      <alignment vertical="center"/>
    </xf>
    <xf numFmtId="177" fontId="23" fillId="35" borderId="34" xfId="33" applyNumberFormat="1" applyFont="1" applyFill="1" applyBorder="1" applyAlignment="1">
      <alignment vertical="center"/>
    </xf>
    <xf numFmtId="0" fontId="20" fillId="35" borderId="26" xfId="0" applyFont="1" applyFill="1" applyBorder="1" applyAlignment="1">
      <alignment horizontal="center" vertical="center"/>
    </xf>
    <xf numFmtId="41" fontId="23" fillId="35" borderId="5" xfId="33" applyFont="1" applyFill="1" applyBorder="1" applyAlignment="1">
      <alignment horizontal="center" vertical="center"/>
    </xf>
    <xf numFmtId="9" fontId="23" fillId="35" borderId="5" xfId="29" applyFont="1" applyFill="1" applyBorder="1" applyAlignment="1">
      <alignment vertical="center"/>
    </xf>
    <xf numFmtId="177" fontId="23" fillId="35" borderId="35" xfId="33" applyNumberFormat="1" applyFont="1" applyFill="1" applyBorder="1" applyAlignment="1">
      <alignment vertical="center"/>
    </xf>
    <xf numFmtId="0" fontId="26" fillId="36" borderId="20" xfId="0" applyFont="1" applyFill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/>
    </xf>
    <xf numFmtId="0" fontId="26" fillId="36" borderId="35" xfId="0" applyFont="1" applyFill="1" applyBorder="1" applyAlignment="1">
      <alignment horizontal="center" vertical="center"/>
    </xf>
    <xf numFmtId="0" fontId="26" fillId="36" borderId="27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/>
    </xf>
    <xf numFmtId="41" fontId="26" fillId="36" borderId="17" xfId="0" applyNumberFormat="1" applyFont="1" applyFill="1" applyBorder="1" applyAlignment="1">
      <alignment horizontal="center" vertical="center"/>
    </xf>
    <xf numFmtId="0" fontId="26" fillId="36" borderId="17" xfId="0" applyFont="1" applyFill="1" applyBorder="1" applyAlignment="1">
      <alignment horizontal="center" vertical="center"/>
    </xf>
    <xf numFmtId="41" fontId="26" fillId="36" borderId="36" xfId="0" applyNumberFormat="1" applyFont="1" applyFill="1" applyBorder="1" applyAlignment="1">
      <alignment horizontal="center" vertical="center"/>
    </xf>
    <xf numFmtId="177" fontId="21" fillId="36" borderId="15" xfId="33" applyNumberFormat="1" applyFont="1" applyFill="1" applyBorder="1" applyAlignment="1">
      <alignment vertical="center"/>
    </xf>
    <xf numFmtId="41" fontId="21" fillId="36" borderId="15" xfId="33" applyFont="1" applyFill="1" applyBorder="1" applyAlignment="1">
      <alignment vertical="center"/>
    </xf>
    <xf numFmtId="41" fontId="21" fillId="36" borderId="37" xfId="33" applyFont="1" applyFill="1" applyBorder="1" applyAlignment="1">
      <alignment horizontal="center" vertical="center"/>
    </xf>
    <xf numFmtId="177" fontId="21" fillId="36" borderId="2" xfId="33" applyNumberFormat="1" applyFont="1" applyFill="1" applyBorder="1" applyAlignment="1">
      <alignment vertical="center"/>
    </xf>
    <xf numFmtId="41" fontId="21" fillId="36" borderId="2" xfId="33" applyFont="1" applyFill="1" applyBorder="1" applyAlignment="1">
      <alignment vertical="center"/>
    </xf>
    <xf numFmtId="41" fontId="21" fillId="36" borderId="34" xfId="33" applyFont="1" applyFill="1" applyBorder="1" applyAlignment="1">
      <alignment horizontal="center" vertical="center"/>
    </xf>
    <xf numFmtId="177" fontId="21" fillId="36" borderId="22" xfId="33" applyNumberFormat="1" applyFont="1" applyFill="1" applyBorder="1" applyAlignment="1">
      <alignment vertical="center"/>
    </xf>
    <xf numFmtId="41" fontId="21" fillId="36" borderId="22" xfId="33" applyFont="1" applyFill="1" applyBorder="1" applyAlignment="1">
      <alignment vertical="center"/>
    </xf>
    <xf numFmtId="41" fontId="21" fillId="36" borderId="38" xfId="33" applyFont="1" applyFill="1" applyBorder="1" applyAlignment="1">
      <alignment horizontal="center" vertical="center"/>
    </xf>
    <xf numFmtId="0" fontId="26" fillId="37" borderId="20" xfId="0" applyFont="1" applyFill="1" applyBorder="1" applyAlignment="1">
      <alignment horizontal="center" vertical="center"/>
    </xf>
    <xf numFmtId="0" fontId="26" fillId="37" borderId="4" xfId="0" applyFont="1" applyFill="1" applyBorder="1" applyAlignment="1">
      <alignment horizontal="center" vertical="center"/>
    </xf>
    <xf numFmtId="0" fontId="26" fillId="37" borderId="35" xfId="0" applyFont="1" applyFill="1" applyBorder="1" applyAlignment="1">
      <alignment horizontal="center" vertical="center"/>
    </xf>
    <xf numFmtId="0" fontId="26" fillId="37" borderId="27" xfId="0" applyFont="1" applyFill="1" applyBorder="1" applyAlignment="1">
      <alignment horizontal="center" vertical="center" wrapText="1"/>
    </xf>
    <xf numFmtId="0" fontId="26" fillId="37" borderId="16" xfId="0" applyFont="1" applyFill="1" applyBorder="1" applyAlignment="1">
      <alignment horizontal="center" vertical="center"/>
    </xf>
    <xf numFmtId="41" fontId="26" fillId="37" borderId="17" xfId="0" applyNumberFormat="1" applyFont="1" applyFill="1" applyBorder="1" applyAlignment="1">
      <alignment horizontal="center" vertical="center"/>
    </xf>
    <xf numFmtId="0" fontId="26" fillId="37" borderId="17" xfId="0" applyFont="1" applyFill="1" applyBorder="1" applyAlignment="1">
      <alignment horizontal="center" vertical="center"/>
    </xf>
    <xf numFmtId="41" fontId="26" fillId="37" borderId="36" xfId="0" applyNumberFormat="1" applyFont="1" applyFill="1" applyBorder="1" applyAlignment="1">
      <alignment horizontal="center" vertical="center"/>
    </xf>
    <xf numFmtId="177" fontId="21" fillId="37" borderId="15" xfId="33" applyNumberFormat="1" applyFont="1" applyFill="1" applyBorder="1" applyAlignment="1">
      <alignment vertical="center"/>
    </xf>
    <xf numFmtId="41" fontId="21" fillId="37" borderId="15" xfId="33" applyFont="1" applyFill="1" applyBorder="1" applyAlignment="1">
      <alignment vertical="center"/>
    </xf>
    <xf numFmtId="41" fontId="21" fillId="37" borderId="37" xfId="33" applyFont="1" applyFill="1" applyBorder="1" applyAlignment="1">
      <alignment horizontal="center" vertical="center"/>
    </xf>
    <xf numFmtId="177" fontId="21" fillId="37" borderId="2" xfId="33" applyNumberFormat="1" applyFont="1" applyFill="1" applyBorder="1" applyAlignment="1">
      <alignment vertical="center"/>
    </xf>
    <xf numFmtId="41" fontId="21" fillId="37" borderId="2" xfId="33" applyFont="1" applyFill="1" applyBorder="1" applyAlignment="1">
      <alignment vertical="center"/>
    </xf>
    <xf numFmtId="41" fontId="21" fillId="37" borderId="34" xfId="33" applyFont="1" applyFill="1" applyBorder="1" applyAlignment="1">
      <alignment horizontal="center" vertical="center"/>
    </xf>
    <xf numFmtId="177" fontId="21" fillId="37" borderId="22" xfId="33" applyNumberFormat="1" applyFont="1" applyFill="1" applyBorder="1" applyAlignment="1">
      <alignment vertical="center"/>
    </xf>
    <xf numFmtId="41" fontId="21" fillId="37" borderId="22" xfId="33" applyFont="1" applyFill="1" applyBorder="1" applyAlignment="1">
      <alignment vertical="center"/>
    </xf>
    <xf numFmtId="41" fontId="21" fillId="37" borderId="38" xfId="33" applyFont="1" applyFill="1" applyBorder="1" applyAlignment="1">
      <alignment horizontal="center" vertical="center"/>
    </xf>
    <xf numFmtId="176" fontId="23" fillId="0" borderId="34" xfId="33" applyNumberFormat="1" applyFont="1" applyFill="1" applyBorder="1" applyAlignment="1">
      <alignment vertical="center"/>
    </xf>
    <xf numFmtId="176" fontId="23" fillId="0" borderId="35" xfId="33" applyNumberFormat="1" applyFont="1" applyFill="1" applyBorder="1" applyAlignment="1">
      <alignment vertical="center"/>
    </xf>
    <xf numFmtId="177" fontId="21" fillId="0" borderId="15" xfId="33" applyNumberFormat="1" applyFont="1" applyFill="1" applyBorder="1" applyAlignment="1">
      <alignment vertical="center"/>
    </xf>
    <xf numFmtId="41" fontId="21" fillId="0" borderId="14" xfId="33" applyFont="1" applyFill="1" applyBorder="1" applyAlignment="1">
      <alignment horizontal="center" vertical="center" shrinkToFit="1"/>
    </xf>
    <xf numFmtId="41" fontId="21" fillId="0" borderId="7" xfId="33" applyFont="1" applyFill="1" applyBorder="1" applyAlignment="1">
      <alignment horizontal="center" vertical="center" shrinkToFit="1"/>
    </xf>
    <xf numFmtId="41" fontId="21" fillId="0" borderId="21" xfId="33" applyFont="1" applyFill="1" applyBorder="1" applyAlignment="1">
      <alignment horizontal="center" vertical="center" shrinkToFit="1"/>
    </xf>
    <xf numFmtId="177" fontId="26" fillId="0" borderId="0" xfId="33" applyNumberFormat="1" applyFont="1" applyFill="1" applyBorder="1" applyAlignment="1">
      <alignment vertical="center"/>
    </xf>
    <xf numFmtId="177" fontId="27" fillId="0" borderId="3" xfId="33" applyNumberFormat="1" applyFont="1" applyFill="1" applyBorder="1" applyAlignment="1">
      <alignment vertical="center"/>
    </xf>
    <xf numFmtId="0" fontId="26" fillId="0" borderId="0" xfId="0" applyFont="1" applyAlignment="1">
      <alignment horizontal="center" vertical="center" wrapText="1"/>
    </xf>
    <xf numFmtId="41" fontId="26" fillId="35" borderId="7" xfId="33" applyFont="1" applyFill="1" applyBorder="1" applyAlignment="1">
      <alignment vertical="center"/>
    </xf>
    <xf numFmtId="41" fontId="26" fillId="35" borderId="15" xfId="33" applyFont="1" applyFill="1" applyBorder="1" applyAlignment="1">
      <alignment vertical="center"/>
    </xf>
    <xf numFmtId="41" fontId="26" fillId="35" borderId="14" xfId="33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9" fontId="20" fillId="2" borderId="0" xfId="29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3" fontId="21" fillId="2" borderId="0" xfId="0" applyNumberFormat="1" applyFont="1" applyFill="1" applyAlignment="1">
      <alignment horizontal="left" vertical="center"/>
    </xf>
    <xf numFmtId="41" fontId="26" fillId="2" borderId="0" xfId="33" applyFont="1" applyFill="1" applyBorder="1" applyAlignment="1">
      <alignment horizontal="center" vertical="center"/>
    </xf>
    <xf numFmtId="41" fontId="21" fillId="2" borderId="0" xfId="33" applyFont="1" applyFill="1" applyAlignment="1">
      <alignment vertical="center"/>
    </xf>
    <xf numFmtId="3" fontId="33" fillId="0" borderId="0" xfId="0" quotePrefix="1" applyNumberFormat="1" applyFont="1" applyAlignment="1">
      <alignment vertical="center"/>
    </xf>
    <xf numFmtId="3" fontId="21" fillId="0" borderId="0" xfId="0" applyNumberFormat="1" applyFont="1" applyAlignment="1">
      <alignment horizontal="center" vertical="center"/>
    </xf>
    <xf numFmtId="41" fontId="21" fillId="2" borderId="64" xfId="0" applyNumberFormat="1" applyFont="1" applyFill="1" applyBorder="1" applyAlignment="1">
      <alignment vertical="center"/>
    </xf>
    <xf numFmtId="0" fontId="21" fillId="2" borderId="64" xfId="0" applyFont="1" applyFill="1" applyBorder="1" applyAlignment="1">
      <alignment horizontal="center" vertical="center"/>
    </xf>
    <xf numFmtId="41" fontId="21" fillId="2" borderId="0" xfId="0" applyNumberFormat="1" applyFont="1" applyFill="1" applyAlignment="1">
      <alignment vertical="center"/>
    </xf>
    <xf numFmtId="178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horizontal="left" vertical="center"/>
    </xf>
    <xf numFmtId="43" fontId="21" fillId="2" borderId="64" xfId="0" applyNumberFormat="1" applyFont="1" applyFill="1" applyBorder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78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41" fontId="21" fillId="0" borderId="0" xfId="0" applyNumberFormat="1" applyFont="1" applyAlignment="1">
      <alignment vertical="center"/>
    </xf>
    <xf numFmtId="0" fontId="35" fillId="41" borderId="0" xfId="0" applyFont="1" applyFill="1" applyAlignment="1">
      <alignment vertical="center"/>
    </xf>
    <xf numFmtId="0" fontId="35" fillId="41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41" borderId="64" xfId="0" applyFont="1" applyFill="1" applyBorder="1" applyAlignment="1">
      <alignment horizontal="center" vertical="center"/>
    </xf>
    <xf numFmtId="3" fontId="35" fillId="41" borderId="64" xfId="0" applyNumberFormat="1" applyFont="1" applyFill="1" applyBorder="1" applyAlignment="1">
      <alignment vertical="center"/>
    </xf>
    <xf numFmtId="178" fontId="35" fillId="41" borderId="0" xfId="0" applyNumberFormat="1" applyFont="1" applyFill="1" applyAlignment="1">
      <alignment horizontal="center" vertical="center"/>
    </xf>
    <xf numFmtId="178" fontId="35" fillId="0" borderId="0" xfId="0" applyNumberFormat="1" applyFont="1" applyAlignment="1">
      <alignment horizontal="center" vertical="center"/>
    </xf>
    <xf numFmtId="43" fontId="21" fillId="0" borderId="0" xfId="33" applyNumberFormat="1" applyFont="1" applyFill="1" applyBorder="1" applyAlignment="1">
      <alignment vertical="center"/>
    </xf>
    <xf numFmtId="0" fontId="35" fillId="0" borderId="0" xfId="0" applyFont="1"/>
    <xf numFmtId="3" fontId="35" fillId="0" borderId="0" xfId="0" applyNumberFormat="1" applyFont="1"/>
    <xf numFmtId="41" fontId="21" fillId="42" borderId="0" xfId="33" applyFont="1" applyFill="1" applyBorder="1" applyAlignment="1">
      <alignment vertical="center"/>
    </xf>
    <xf numFmtId="41" fontId="21" fillId="0" borderId="0" xfId="33" applyFont="1" applyFill="1" applyBorder="1" applyAlignment="1">
      <alignment vertical="center" shrinkToFit="1"/>
    </xf>
    <xf numFmtId="41" fontId="21" fillId="43" borderId="0" xfId="33" applyFont="1" applyFill="1" applyBorder="1" applyAlignment="1">
      <alignment vertical="center"/>
    </xf>
    <xf numFmtId="41" fontId="21" fillId="44" borderId="0" xfId="33" applyFont="1" applyFill="1" applyBorder="1" applyAlignment="1">
      <alignment vertical="center"/>
    </xf>
    <xf numFmtId="3" fontId="21" fillId="42" borderId="0" xfId="0" applyNumberFormat="1" applyFont="1" applyFill="1" applyAlignment="1">
      <alignment vertical="center"/>
    </xf>
    <xf numFmtId="41" fontId="21" fillId="44" borderId="0" xfId="33" applyFont="1" applyFill="1" applyBorder="1" applyAlignment="1">
      <alignment vertical="center" shrinkToFit="1"/>
    </xf>
    <xf numFmtId="179" fontId="21" fillId="42" borderId="0" xfId="33" applyNumberFormat="1" applyFont="1" applyFill="1" applyBorder="1" applyAlignment="1">
      <alignment vertical="center" shrinkToFit="1"/>
    </xf>
    <xf numFmtId="179" fontId="21" fillId="44" borderId="0" xfId="33" applyNumberFormat="1" applyFont="1" applyFill="1" applyBorder="1" applyAlignment="1">
      <alignment vertical="center" shrinkToFit="1"/>
    </xf>
    <xf numFmtId="41" fontId="21" fillId="0" borderId="14" xfId="33" applyFont="1" applyFill="1" applyBorder="1" applyAlignment="1">
      <alignment horizontal="center" vertical="center" wrapText="1" shrinkToFit="1"/>
    </xf>
    <xf numFmtId="41" fontId="21" fillId="0" borderId="7" xfId="33" applyFont="1" applyFill="1" applyBorder="1" applyAlignment="1">
      <alignment horizontal="center" vertical="center" wrapText="1" shrinkToFit="1"/>
    </xf>
    <xf numFmtId="0" fontId="26" fillId="2" borderId="0" xfId="0" applyFont="1" applyFill="1" applyAlignment="1">
      <alignment horizontal="left" vertical="center"/>
    </xf>
    <xf numFmtId="41" fontId="23" fillId="35" borderId="31" xfId="33" applyFont="1" applyFill="1" applyBorder="1" applyAlignment="1">
      <alignment horizontal="center" vertical="center"/>
    </xf>
    <xf numFmtId="41" fontId="23" fillId="35" borderId="49" xfId="33" applyFont="1" applyFill="1" applyBorder="1" applyAlignment="1">
      <alignment horizontal="center" vertical="center"/>
    </xf>
    <xf numFmtId="41" fontId="23" fillId="35" borderId="41" xfId="33" applyFont="1" applyFill="1" applyBorder="1" applyAlignment="1">
      <alignment horizontal="center" vertical="center"/>
    </xf>
    <xf numFmtId="41" fontId="23" fillId="35" borderId="42" xfId="33" applyFont="1" applyFill="1" applyBorder="1" applyAlignment="1">
      <alignment horizontal="center" vertical="center"/>
    </xf>
    <xf numFmtId="41" fontId="31" fillId="39" borderId="42" xfId="33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41" fontId="23" fillId="35" borderId="25" xfId="33" applyFont="1" applyFill="1" applyBorder="1" applyAlignment="1">
      <alignment horizontal="center" vertical="center"/>
    </xf>
    <xf numFmtId="41" fontId="23" fillId="35" borderId="45" xfId="33" applyFont="1" applyFill="1" applyBorder="1" applyAlignment="1">
      <alignment horizontal="center" vertical="center"/>
    </xf>
    <xf numFmtId="41" fontId="23" fillId="35" borderId="7" xfId="33" applyFont="1" applyFill="1" applyBorder="1" applyAlignment="1">
      <alignment horizontal="center" vertical="center"/>
    </xf>
    <xf numFmtId="41" fontId="23" fillId="35" borderId="2" xfId="33" applyFont="1" applyFill="1" applyBorder="1" applyAlignment="1">
      <alignment horizontal="center" vertical="center"/>
    </xf>
    <xf numFmtId="41" fontId="31" fillId="39" borderId="2" xfId="33" applyFont="1" applyFill="1" applyBorder="1" applyAlignment="1">
      <alignment horizontal="center" vertical="center"/>
    </xf>
    <xf numFmtId="41" fontId="23" fillId="35" borderId="26" xfId="33" applyFont="1" applyFill="1" applyBorder="1" applyAlignment="1">
      <alignment horizontal="center" vertical="center"/>
    </xf>
    <xf numFmtId="41" fontId="23" fillId="35" borderId="48" xfId="33" applyFont="1" applyFill="1" applyBorder="1" applyAlignment="1">
      <alignment horizontal="center" vertical="center"/>
    </xf>
    <xf numFmtId="41" fontId="23" fillId="35" borderId="20" xfId="33" applyFont="1" applyFill="1" applyBorder="1" applyAlignment="1">
      <alignment horizontal="center" vertical="center"/>
    </xf>
    <xf numFmtId="41" fontId="23" fillId="35" borderId="4" xfId="33" applyFont="1" applyFill="1" applyBorder="1" applyAlignment="1">
      <alignment horizontal="center" vertical="center"/>
    </xf>
    <xf numFmtId="41" fontId="31" fillId="39" borderId="4" xfId="33" applyFont="1" applyFill="1" applyBorder="1" applyAlignment="1">
      <alignment horizontal="center" vertical="center"/>
    </xf>
    <xf numFmtId="178" fontId="21" fillId="2" borderId="65" xfId="0" applyNumberFormat="1" applyFont="1" applyFill="1" applyBorder="1" applyAlignment="1">
      <alignment horizontal="center" vertical="center"/>
    </xf>
    <xf numFmtId="178" fontId="21" fillId="2" borderId="66" xfId="0" applyNumberFormat="1" applyFont="1" applyFill="1" applyBorder="1" applyAlignment="1">
      <alignment horizontal="center" vertical="center"/>
    </xf>
    <xf numFmtId="41" fontId="21" fillId="35" borderId="20" xfId="33" applyFont="1" applyFill="1" applyBorder="1" applyAlignment="1">
      <alignment horizontal="center" vertical="center"/>
    </xf>
    <xf numFmtId="41" fontId="21" fillId="35" borderId="4" xfId="33" applyFont="1" applyFill="1" applyBorder="1" applyAlignment="1">
      <alignment horizontal="center" vertical="center"/>
    </xf>
    <xf numFmtId="177" fontId="21" fillId="35" borderId="4" xfId="33" applyNumberFormat="1" applyFont="1" applyFill="1" applyBorder="1" applyAlignment="1">
      <alignment horizontal="center" vertical="center"/>
    </xf>
    <xf numFmtId="177" fontId="21" fillId="35" borderId="5" xfId="33" applyNumberFormat="1" applyFont="1" applyFill="1" applyBorder="1" applyAlignment="1">
      <alignment horizontal="center" vertical="center"/>
    </xf>
    <xf numFmtId="0" fontId="29" fillId="38" borderId="39" xfId="0" applyFont="1" applyFill="1" applyBorder="1" applyAlignment="1">
      <alignment horizontal="center" vertical="center"/>
    </xf>
    <xf numFmtId="0" fontId="29" fillId="38" borderId="9" xfId="0" applyFont="1" applyFill="1" applyBorder="1" applyAlignment="1">
      <alignment horizontal="center" vertical="center"/>
    </xf>
    <xf numFmtId="41" fontId="21" fillId="35" borderId="7" xfId="33" applyFont="1" applyFill="1" applyBorder="1" applyAlignment="1">
      <alignment horizontal="center" vertical="center"/>
    </xf>
    <xf numFmtId="41" fontId="21" fillId="35" borderId="2" xfId="33" applyFont="1" applyFill="1" applyBorder="1" applyAlignment="1">
      <alignment horizontal="center" vertical="center"/>
    </xf>
    <xf numFmtId="177" fontId="21" fillId="35" borderId="2" xfId="33" applyNumberFormat="1" applyFont="1" applyFill="1" applyBorder="1" applyAlignment="1">
      <alignment horizontal="center" vertical="center"/>
    </xf>
    <xf numFmtId="177" fontId="21" fillId="35" borderId="3" xfId="33" applyNumberFormat="1" applyFont="1" applyFill="1" applyBorder="1" applyAlignment="1">
      <alignment horizontal="center" vertical="center"/>
    </xf>
    <xf numFmtId="0" fontId="20" fillId="35" borderId="39" xfId="0" applyFont="1" applyFill="1" applyBorder="1" applyAlignment="1">
      <alignment horizontal="center" vertical="center" wrapText="1"/>
    </xf>
    <xf numFmtId="0" fontId="20" fillId="35" borderId="9" xfId="0" applyFont="1" applyFill="1" applyBorder="1" applyAlignment="1">
      <alignment horizontal="center" vertical="center" wrapText="1"/>
    </xf>
    <xf numFmtId="0" fontId="20" fillId="35" borderId="40" xfId="0" applyFont="1" applyFill="1" applyBorder="1" applyAlignment="1">
      <alignment horizontal="center" vertical="center" wrapText="1"/>
    </xf>
    <xf numFmtId="0" fontId="20" fillId="35" borderId="51" xfId="0" applyFont="1" applyFill="1" applyBorder="1" applyAlignment="1">
      <alignment horizontal="center" vertical="center"/>
    </xf>
    <xf numFmtId="0" fontId="20" fillId="35" borderId="53" xfId="0" applyFont="1" applyFill="1" applyBorder="1" applyAlignment="1">
      <alignment horizontal="center" vertical="center"/>
    </xf>
    <xf numFmtId="0" fontId="20" fillId="35" borderId="54" xfId="0" applyFont="1" applyFill="1" applyBorder="1" applyAlignment="1">
      <alignment horizontal="center" vertical="center"/>
    </xf>
    <xf numFmtId="0" fontId="23" fillId="35" borderId="33" xfId="0" applyFont="1" applyFill="1" applyBorder="1" applyAlignment="1">
      <alignment horizontal="center" vertical="center"/>
    </xf>
    <xf numFmtId="0" fontId="23" fillId="35" borderId="35" xfId="0" applyFont="1" applyFill="1" applyBorder="1" applyAlignment="1">
      <alignment horizontal="center" vertical="center"/>
    </xf>
    <xf numFmtId="0" fontId="20" fillId="35" borderId="46" xfId="0" applyFont="1" applyFill="1" applyBorder="1" applyAlignment="1">
      <alignment horizontal="center" vertical="center" wrapText="1"/>
    </xf>
    <xf numFmtId="0" fontId="20" fillId="35" borderId="47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4" xfId="0" applyFont="1" applyFill="1" applyBorder="1" applyAlignment="1">
      <alignment horizontal="center" vertical="center" wrapText="1"/>
    </xf>
    <xf numFmtId="0" fontId="31" fillId="39" borderId="4" xfId="0" applyFont="1" applyFill="1" applyBorder="1" applyAlignment="1">
      <alignment horizontal="center" vertical="center"/>
    </xf>
    <xf numFmtId="41" fontId="26" fillId="35" borderId="7" xfId="33" applyFont="1" applyFill="1" applyBorder="1" applyAlignment="1">
      <alignment vertical="center"/>
    </xf>
    <xf numFmtId="41" fontId="26" fillId="35" borderId="2" xfId="33" applyFont="1" applyFill="1" applyBorder="1" applyAlignment="1">
      <alignment vertical="center"/>
    </xf>
    <xf numFmtId="41" fontId="28" fillId="35" borderId="2" xfId="33" applyFont="1" applyFill="1" applyBorder="1" applyAlignment="1">
      <alignment vertical="center"/>
    </xf>
    <xf numFmtId="41" fontId="28" fillId="35" borderId="3" xfId="33" applyFont="1" applyFill="1" applyBorder="1" applyAlignment="1">
      <alignment vertical="center"/>
    </xf>
    <xf numFmtId="41" fontId="21" fillId="35" borderId="5" xfId="33" applyFont="1" applyFill="1" applyBorder="1" applyAlignment="1">
      <alignment horizontal="center" vertical="center"/>
    </xf>
    <xf numFmtId="0" fontId="29" fillId="38" borderId="40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right"/>
    </xf>
    <xf numFmtId="0" fontId="20" fillId="35" borderId="41" xfId="0" applyFont="1" applyFill="1" applyBorder="1" applyAlignment="1">
      <alignment horizontal="center" vertical="center"/>
    </xf>
    <xf numFmtId="0" fontId="20" fillId="35" borderId="42" xfId="0" applyFont="1" applyFill="1" applyBorder="1" applyAlignment="1">
      <alignment horizontal="center" vertical="center"/>
    </xf>
    <xf numFmtId="0" fontId="20" fillId="35" borderId="52" xfId="0" applyFont="1" applyFill="1" applyBorder="1" applyAlignment="1">
      <alignment horizontal="center" vertical="center"/>
    </xf>
    <xf numFmtId="0" fontId="20" fillId="35" borderId="33" xfId="0" applyFont="1" applyFill="1" applyBorder="1" applyAlignment="1">
      <alignment horizontal="center" vertical="center"/>
    </xf>
    <xf numFmtId="41" fontId="21" fillId="0" borderId="20" xfId="33" applyFont="1" applyFill="1" applyBorder="1" applyAlignment="1">
      <alignment horizontal="center" vertical="center"/>
    </xf>
    <xf numFmtId="41" fontId="21" fillId="0" borderId="4" xfId="33" applyFont="1" applyFill="1" applyBorder="1" applyAlignment="1">
      <alignment horizontal="center" vertical="center"/>
    </xf>
    <xf numFmtId="177" fontId="34" fillId="0" borderId="4" xfId="33" applyNumberFormat="1" applyFont="1" applyFill="1" applyBorder="1" applyAlignment="1">
      <alignment horizontal="center" vertical="center"/>
    </xf>
    <xf numFmtId="177" fontId="21" fillId="0" borderId="4" xfId="33" applyNumberFormat="1" applyFont="1" applyFill="1" applyBorder="1" applyAlignment="1">
      <alignment horizontal="center" vertical="center"/>
    </xf>
    <xf numFmtId="41" fontId="21" fillId="35" borderId="3" xfId="33" applyFont="1" applyFill="1" applyBorder="1" applyAlignment="1">
      <alignment horizontal="center" vertical="center"/>
    </xf>
    <xf numFmtId="41" fontId="21" fillId="0" borderId="25" xfId="33" applyFont="1" applyFill="1" applyBorder="1" applyAlignment="1">
      <alignment horizontal="center" vertical="center"/>
    </xf>
    <xf numFmtId="41" fontId="21" fillId="0" borderId="45" xfId="33" applyFont="1" applyFill="1" applyBorder="1" applyAlignment="1">
      <alignment horizontal="center" vertical="center"/>
    </xf>
    <xf numFmtId="177" fontId="21" fillId="40" borderId="2" xfId="33" applyNumberFormat="1" applyFont="1" applyFill="1" applyBorder="1" applyAlignment="1">
      <alignment horizontal="center" vertical="center"/>
    </xf>
    <xf numFmtId="41" fontId="28" fillId="35" borderId="50" xfId="33" applyFont="1" applyFill="1" applyBorder="1" applyAlignment="1">
      <alignment horizontal="center" vertical="center"/>
    </xf>
    <xf numFmtId="41" fontId="28" fillId="35" borderId="37" xfId="33" applyFont="1" applyFill="1" applyBorder="1" applyAlignment="1">
      <alignment horizontal="center" vertical="center"/>
    </xf>
    <xf numFmtId="0" fontId="20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/>
    </xf>
    <xf numFmtId="0" fontId="20" fillId="35" borderId="43" xfId="0" applyFont="1" applyFill="1" applyBorder="1" applyAlignment="1">
      <alignment horizontal="center" vertical="center"/>
    </xf>
    <xf numFmtId="0" fontId="20" fillId="35" borderId="36" xfId="0" applyFont="1" applyFill="1" applyBorder="1" applyAlignment="1">
      <alignment horizontal="center" vertical="center"/>
    </xf>
    <xf numFmtId="41" fontId="26" fillId="35" borderId="14" xfId="33" applyFont="1" applyFill="1" applyBorder="1" applyAlignment="1">
      <alignment vertical="center"/>
    </xf>
    <xf numFmtId="41" fontId="26" fillId="35" borderId="15" xfId="33" applyFont="1" applyFill="1" applyBorder="1" applyAlignment="1">
      <alignment vertical="center"/>
    </xf>
    <xf numFmtId="41" fontId="28" fillId="35" borderId="15" xfId="33" applyFont="1" applyFill="1" applyBorder="1" applyAlignment="1">
      <alignment vertical="center"/>
    </xf>
    <xf numFmtId="41" fontId="28" fillId="35" borderId="19" xfId="33" applyFont="1" applyFill="1" applyBorder="1" applyAlignment="1">
      <alignment vertical="center"/>
    </xf>
    <xf numFmtId="41" fontId="26" fillId="35" borderId="14" xfId="33" applyFont="1" applyFill="1" applyBorder="1" applyAlignment="1">
      <alignment horizontal="center" vertical="center"/>
    </xf>
    <xf numFmtId="41" fontId="26" fillId="35" borderId="15" xfId="33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36" borderId="39" xfId="0" applyFont="1" applyFill="1" applyBorder="1" applyAlignment="1">
      <alignment horizontal="center" vertical="center"/>
    </xf>
    <xf numFmtId="0" fontId="25" fillId="36" borderId="40" xfId="0" applyFont="1" applyFill="1" applyBorder="1" applyAlignment="1">
      <alignment horizontal="center" vertical="center"/>
    </xf>
    <xf numFmtId="0" fontId="25" fillId="37" borderId="39" xfId="0" applyFont="1" applyFill="1" applyBorder="1" applyAlignment="1">
      <alignment horizontal="center" vertical="center"/>
    </xf>
    <xf numFmtId="0" fontId="25" fillId="37" borderId="40" xfId="0" applyFont="1" applyFill="1" applyBorder="1" applyAlignment="1">
      <alignment horizontal="center" vertical="center"/>
    </xf>
    <xf numFmtId="0" fontId="26" fillId="36" borderId="28" xfId="0" applyFont="1" applyFill="1" applyBorder="1" applyAlignment="1">
      <alignment horizontal="center" vertical="center"/>
    </xf>
    <xf numFmtId="0" fontId="26" fillId="36" borderId="29" xfId="0" applyFont="1" applyFill="1" applyBorder="1" applyAlignment="1">
      <alignment horizontal="center" vertical="center"/>
    </xf>
    <xf numFmtId="0" fontId="26" fillId="36" borderId="41" xfId="0" applyFont="1" applyFill="1" applyBorder="1" applyAlignment="1">
      <alignment horizontal="center" vertical="center"/>
    </xf>
    <xf numFmtId="0" fontId="26" fillId="36" borderId="42" xfId="0" applyFont="1" applyFill="1" applyBorder="1" applyAlignment="1">
      <alignment horizontal="center" vertical="center"/>
    </xf>
    <xf numFmtId="0" fontId="26" fillId="36" borderId="32" xfId="0" applyFont="1" applyFill="1" applyBorder="1" applyAlignment="1">
      <alignment horizontal="center" vertical="center"/>
    </xf>
    <xf numFmtId="0" fontId="26" fillId="37" borderId="28" xfId="0" applyFont="1" applyFill="1" applyBorder="1" applyAlignment="1">
      <alignment horizontal="center" vertical="center"/>
    </xf>
    <xf numFmtId="0" fontId="26" fillId="37" borderId="29" xfId="0" applyFont="1" applyFill="1" applyBorder="1" applyAlignment="1">
      <alignment horizontal="center" vertical="center"/>
    </xf>
    <xf numFmtId="0" fontId="26" fillId="37" borderId="41" xfId="0" applyFont="1" applyFill="1" applyBorder="1" applyAlignment="1">
      <alignment horizontal="center" vertical="center"/>
    </xf>
    <xf numFmtId="0" fontId="26" fillId="37" borderId="42" xfId="0" applyFont="1" applyFill="1" applyBorder="1" applyAlignment="1">
      <alignment horizontal="center" vertical="center"/>
    </xf>
    <xf numFmtId="0" fontId="26" fillId="37" borderId="32" xfId="0" applyFont="1" applyFill="1" applyBorder="1" applyAlignment="1">
      <alignment horizontal="center" vertical="center"/>
    </xf>
    <xf numFmtId="0" fontId="26" fillId="36" borderId="44" xfId="0" applyFont="1" applyFill="1" applyBorder="1" applyAlignment="1">
      <alignment horizontal="center" vertical="center" wrapText="1"/>
    </xf>
    <xf numFmtId="0" fontId="26" fillId="37" borderId="4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/>
    </xf>
    <xf numFmtId="9" fontId="20" fillId="2" borderId="0" xfId="29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26" fillId="35" borderId="39" xfId="0" applyFont="1" applyFill="1" applyBorder="1" applyAlignment="1">
      <alignment horizontal="center" vertical="center"/>
    </xf>
    <xf numFmtId="0" fontId="26" fillId="35" borderId="44" xfId="0" applyFont="1" applyFill="1" applyBorder="1" applyAlignment="1">
      <alignment horizontal="center" vertical="center"/>
    </xf>
    <xf numFmtId="0" fontId="26" fillId="35" borderId="2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2" borderId="0" xfId="0" applyFont="1" applyFill="1" applyAlignment="1">
      <alignment horizontal="left" vertical="center"/>
    </xf>
  </cellXfs>
  <cellStyles count="4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 2" xfId="28" xr:uid="{00000000-0005-0000-0000-00001B000000}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theme" Target="theme/theme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alcChain" Target="calcChain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124"/>
  <sheetViews>
    <sheetView showGridLines="0" topLeftCell="A24" zoomScaleNormal="100" workbookViewId="0">
      <selection activeCell="A24" sqref="A1:XFD104857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>
        <v>0</v>
      </c>
      <c r="F9" s="40"/>
      <c r="G9" s="107" t="e">
        <v>#DIV/0!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v>135149</v>
      </c>
      <c r="F10" s="42"/>
      <c r="G10" s="12">
        <v>1457.9271995130068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">
        <v>22</v>
      </c>
      <c r="G16" s="75" t="s">
        <v>22</v>
      </c>
      <c r="H16" s="76" t="s">
        <v>22</v>
      </c>
      <c r="I16" s="16"/>
      <c r="J16" s="244" t="s">
        <v>23</v>
      </c>
      <c r="K16" s="103"/>
      <c r="L16" s="35">
        <v>8000</v>
      </c>
      <c r="M16" s="102"/>
      <c r="N16" s="91">
        <v>1457.9271995130068</v>
      </c>
      <c r="O16" s="92">
        <v>-1457.9271995130068</v>
      </c>
      <c r="P16" s="93">
        <v>-11663417.596104054</v>
      </c>
    </row>
    <row r="17" spans="2:16" ht="24" customHeight="1">
      <c r="B17" s="243"/>
      <c r="C17" s="104"/>
      <c r="D17" s="15"/>
      <c r="E17" s="15"/>
      <c r="F17" s="77" t="s">
        <v>22</v>
      </c>
      <c r="G17" s="78" t="s">
        <v>22</v>
      </c>
      <c r="H17" s="79" t="s">
        <v>22</v>
      </c>
      <c r="I17" s="16"/>
      <c r="J17" s="244"/>
      <c r="K17" s="103"/>
      <c r="L17" s="35"/>
      <c r="M17" s="15"/>
      <c r="N17" s="94" t="s">
        <v>22</v>
      </c>
      <c r="O17" s="95" t="s">
        <v>22</v>
      </c>
      <c r="P17" s="96" t="s">
        <v>22</v>
      </c>
    </row>
    <row r="18" spans="2:16" ht="24" customHeight="1">
      <c r="B18" s="243"/>
      <c r="C18" s="104"/>
      <c r="D18" s="15"/>
      <c r="E18" s="15"/>
      <c r="F18" s="77" t="s">
        <v>22</v>
      </c>
      <c r="G18" s="78" t="s">
        <v>22</v>
      </c>
      <c r="H18" s="79" t="s">
        <v>22</v>
      </c>
      <c r="I18" s="16"/>
      <c r="J18" s="244"/>
      <c r="K18" s="104"/>
      <c r="L18" s="35"/>
      <c r="M18" s="15"/>
      <c r="N18" s="94" t="s">
        <v>22</v>
      </c>
      <c r="O18" s="95" t="s">
        <v>22</v>
      </c>
      <c r="P18" s="96" t="s">
        <v>22</v>
      </c>
    </row>
    <row r="19" spans="2:16" ht="24" customHeight="1">
      <c r="B19" s="243"/>
      <c r="C19" s="104"/>
      <c r="D19" s="15"/>
      <c r="E19" s="15"/>
      <c r="F19" s="77" t="s">
        <v>22</v>
      </c>
      <c r="G19" s="78" t="s">
        <v>22</v>
      </c>
      <c r="H19" s="79" t="s">
        <v>22</v>
      </c>
      <c r="I19" s="16"/>
      <c r="J19" s="244"/>
      <c r="K19" s="104"/>
      <c r="L19" s="35"/>
      <c r="M19" s="15"/>
      <c r="N19" s="94" t="s">
        <v>22</v>
      </c>
      <c r="O19" s="95" t="s">
        <v>22</v>
      </c>
      <c r="P19" s="96" t="s">
        <v>22</v>
      </c>
    </row>
    <row r="20" spans="2:16" ht="24" customHeight="1">
      <c r="B20" s="243"/>
      <c r="C20" s="104"/>
      <c r="D20" s="15"/>
      <c r="E20" s="15"/>
      <c r="F20" s="77" t="s">
        <v>22</v>
      </c>
      <c r="G20" s="78" t="s">
        <v>22</v>
      </c>
      <c r="H20" s="79" t="s">
        <v>22</v>
      </c>
      <c r="I20" s="16"/>
      <c r="J20" s="244"/>
      <c r="K20" s="104"/>
      <c r="L20" s="35"/>
      <c r="M20" s="15"/>
      <c r="N20" s="94" t="s">
        <v>22</v>
      </c>
      <c r="O20" s="95" t="s">
        <v>22</v>
      </c>
      <c r="P20" s="96" t="s">
        <v>22</v>
      </c>
    </row>
    <row r="21" spans="2:16" ht="24" customHeight="1">
      <c r="B21" s="243"/>
      <c r="C21" s="104"/>
      <c r="D21" s="15"/>
      <c r="E21" s="15"/>
      <c r="F21" s="77" t="s">
        <v>22</v>
      </c>
      <c r="G21" s="78" t="s">
        <v>22</v>
      </c>
      <c r="H21" s="79" t="s">
        <v>22</v>
      </c>
      <c r="I21" s="16"/>
      <c r="J21" s="244"/>
      <c r="K21" s="104"/>
      <c r="L21" s="35"/>
      <c r="M21" s="15"/>
      <c r="N21" s="94" t="s">
        <v>22</v>
      </c>
      <c r="O21" s="95" t="s">
        <v>22</v>
      </c>
      <c r="P21" s="96" t="s">
        <v>22</v>
      </c>
    </row>
    <row r="22" spans="2:16" ht="24" customHeight="1">
      <c r="B22" s="243"/>
      <c r="C22" s="105"/>
      <c r="D22" s="43"/>
      <c r="E22" s="43"/>
      <c r="F22" s="80" t="s">
        <v>22</v>
      </c>
      <c r="G22" s="81" t="s">
        <v>22</v>
      </c>
      <c r="H22" s="82" t="s">
        <v>22</v>
      </c>
      <c r="I22" s="16"/>
      <c r="J22" s="244"/>
      <c r="K22" s="105"/>
      <c r="L22" s="43"/>
      <c r="M22" s="43"/>
      <c r="N22" s="97" t="s">
        <v>22</v>
      </c>
      <c r="O22" s="98" t="s">
        <v>22</v>
      </c>
      <c r="P22" s="99" t="s">
        <v>22</v>
      </c>
    </row>
    <row r="23" spans="2:16" ht="24" customHeight="1">
      <c r="B23" s="69" t="s">
        <v>24</v>
      </c>
      <c r="C23" s="70"/>
      <c r="D23" s="71">
        <v>0</v>
      </c>
      <c r="E23" s="72"/>
      <c r="F23" s="72"/>
      <c r="G23" s="72"/>
      <c r="H23" s="73">
        <v>0</v>
      </c>
      <c r="I23" s="114"/>
      <c r="J23" s="86" t="s">
        <v>24</v>
      </c>
      <c r="K23" s="87"/>
      <c r="L23" s="88">
        <v>8000</v>
      </c>
      <c r="M23" s="89"/>
      <c r="N23" s="89"/>
      <c r="O23" s="89"/>
      <c r="P23" s="90">
        <v>-11663417.596104054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>
        <v>0</v>
      </c>
      <c r="D29" s="181"/>
      <c r="E29" s="182" t="e">
        <v>#DIV/0!</v>
      </c>
      <c r="F29" s="182"/>
      <c r="G29" s="181" t="e">
        <v>#DIV/0!</v>
      </c>
      <c r="H29" s="212"/>
      <c r="I29" s="16"/>
      <c r="J29" s="46" t="s">
        <v>9</v>
      </c>
      <c r="K29" s="213"/>
      <c r="L29" s="214"/>
      <c r="M29" s="215"/>
      <c r="N29" s="215"/>
      <c r="O29" s="181">
        <v>0</v>
      </c>
      <c r="P29" s="212"/>
    </row>
    <row r="30" spans="2:16" ht="22.5" customHeight="1">
      <c r="B30" s="47" t="s">
        <v>11</v>
      </c>
      <c r="C30" s="174">
        <v>127149</v>
      </c>
      <c r="D30" s="175"/>
      <c r="E30" s="176">
        <v>1457.9271995130068</v>
      </c>
      <c r="F30" s="176"/>
      <c r="G30" s="175">
        <v>185373985.4908793</v>
      </c>
      <c r="H30" s="201"/>
      <c r="I30" s="16"/>
      <c r="J30" s="47" t="s">
        <v>11</v>
      </c>
      <c r="K30" s="208"/>
      <c r="L30" s="209"/>
      <c r="M30" s="210"/>
      <c r="N30" s="211"/>
      <c r="O30" s="175"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>
        <v>0</v>
      </c>
      <c r="D36" s="181"/>
      <c r="E36" s="181" t="e">
        <v>#DIV/0!</v>
      </c>
      <c r="F36" s="181"/>
      <c r="G36" s="182" t="e">
        <v>#DIV/0!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v>127149</v>
      </c>
      <c r="D37" s="175"/>
      <c r="E37" s="175">
        <v>185373985.4908793</v>
      </c>
      <c r="F37" s="175"/>
      <c r="G37" s="176">
        <v>1457.9271995130068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/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>
        <v>0</v>
      </c>
      <c r="D43" s="163"/>
      <c r="E43" s="59"/>
      <c r="F43" s="164">
        <v>0</v>
      </c>
      <c r="G43" s="165"/>
      <c r="H43" s="165">
        <v>0</v>
      </c>
      <c r="I43" s="165"/>
      <c r="J43" s="165"/>
      <c r="K43" s="166">
        <v>0</v>
      </c>
      <c r="L43" s="166"/>
      <c r="M43" s="60" t="e">
        <v>#DIV/0!</v>
      </c>
      <c r="N43" s="61" t="e">
        <v>#DIV/0!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v>135149</v>
      </c>
      <c r="D44" s="168"/>
      <c r="E44" s="63"/>
      <c r="F44" s="169">
        <v>0</v>
      </c>
      <c r="G44" s="170"/>
      <c r="H44" s="170">
        <v>8000</v>
      </c>
      <c r="I44" s="170"/>
      <c r="J44" s="170"/>
      <c r="K44" s="171">
        <v>126264</v>
      </c>
      <c r="L44" s="171"/>
      <c r="M44" s="64">
        <v>0.15783</v>
      </c>
      <c r="N44" s="65">
        <v>1457.9271995130068</v>
      </c>
      <c r="O44" s="101">
        <v>-885</v>
      </c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1:Y124"/>
  <sheetViews>
    <sheetView showGridLines="0" topLeftCell="A22" zoomScaleNormal="100" workbookViewId="0">
      <selection activeCell="M32" sqref="M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SUM('1203'!K44:L44)</f>
        <v>126264</v>
      </c>
      <c r="F10" s="42"/>
      <c r="G10" s="12">
        <f>SUM('1203'!N44)</f>
        <v>1457.9271995130068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126264</v>
      </c>
      <c r="D30" s="175"/>
      <c r="E30" s="176">
        <f>$G$10</f>
        <v>1457.9271995130068</v>
      </c>
      <c r="F30" s="176"/>
      <c r="G30" s="175">
        <f>C30*E30</f>
        <v>184083719.9193103</v>
      </c>
      <c r="H30" s="201"/>
      <c r="I30" s="16"/>
      <c r="J30" s="47" t="s">
        <v>11</v>
      </c>
      <c r="K30" s="208">
        <v>60000</v>
      </c>
      <c r="L30" s="209"/>
      <c r="M30" s="210">
        <v>1453.1</v>
      </c>
      <c r="N30" s="211"/>
      <c r="O30" s="175">
        <f>K30*M30</f>
        <v>87186000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186264</v>
      </c>
      <c r="D37" s="175"/>
      <c r="E37" s="175">
        <f>$G$30+$O$30-K37</f>
        <v>271269719.91931033</v>
      </c>
      <c r="F37" s="175"/>
      <c r="G37" s="176">
        <f>E37/C37</f>
        <v>1456.372245411407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/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126264</v>
      </c>
      <c r="D44" s="168"/>
      <c r="E44" s="63"/>
      <c r="F44" s="169">
        <f>$K$30</f>
        <v>60000</v>
      </c>
      <c r="G44" s="170"/>
      <c r="H44" s="170">
        <f>$L$23</f>
        <v>0</v>
      </c>
      <c r="I44" s="170"/>
      <c r="J44" s="170"/>
      <c r="K44" s="171">
        <f>$C$44-$H$44+$F$44+$O$44</f>
        <v>186264</v>
      </c>
      <c r="L44" s="171"/>
      <c r="M44" s="64">
        <f>SUM($K$44)/D10</f>
        <v>0.23283000000000001</v>
      </c>
      <c r="N44" s="65">
        <f>$G$37</f>
        <v>1456.372245411407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Y124"/>
  <sheetViews>
    <sheetView showGridLines="0" topLeftCell="A31" zoomScaleNormal="100" workbookViewId="0">
      <selection activeCell="I53" sqref="I5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SUM('1211'!K44:L44)</f>
        <v>186264</v>
      </c>
      <c r="F10" s="42"/>
      <c r="G10" s="12">
        <f>SUM('1211'!N44)</f>
        <v>1456.372245411407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>
        <v>3000</v>
      </c>
      <c r="M16" s="102"/>
      <c r="N16" s="91">
        <f>IF(L16="","",($G$10))</f>
        <v>1456.372245411407</v>
      </c>
      <c r="O16" s="92">
        <f>IF(L16="","",(SUM(M16)-N16))</f>
        <v>-1456.372245411407</v>
      </c>
      <c r="P16" s="93">
        <f>IF(L16="","",(L16*O16))</f>
        <v>-4369116.7362342207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3000</v>
      </c>
      <c r="M23" s="89"/>
      <c r="N23" s="89"/>
      <c r="O23" s="89"/>
      <c r="P23" s="90">
        <f>SUM(P16:P22)</f>
        <v>-4369116.7362342207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183264</v>
      </c>
      <c r="D30" s="175"/>
      <c r="E30" s="176">
        <f>$G$10</f>
        <v>1456.372245411407</v>
      </c>
      <c r="F30" s="176"/>
      <c r="G30" s="175">
        <f>C30*E30</f>
        <v>266900603.18307608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183264</v>
      </c>
      <c r="D37" s="175"/>
      <c r="E37" s="175">
        <f>$G$30+$O$30-K37</f>
        <v>266900603.18307608</v>
      </c>
      <c r="F37" s="175"/>
      <c r="G37" s="176">
        <f>E37/C37</f>
        <v>1456.372245411407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/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186264</v>
      </c>
      <c r="D44" s="168"/>
      <c r="E44" s="63"/>
      <c r="F44" s="169">
        <f>$K$30</f>
        <v>0</v>
      </c>
      <c r="G44" s="170"/>
      <c r="H44" s="170">
        <f>$L$23</f>
        <v>3000</v>
      </c>
      <c r="I44" s="170"/>
      <c r="J44" s="170"/>
      <c r="K44" s="171">
        <f>$C$44-$H$44+$F$44+$O$44</f>
        <v>183264</v>
      </c>
      <c r="L44" s="171"/>
      <c r="M44" s="64">
        <f>SUM($K$44)/D10</f>
        <v>0.22908000000000001</v>
      </c>
      <c r="N44" s="65">
        <f>$G$37</f>
        <v>1456.372245411407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Y124"/>
  <sheetViews>
    <sheetView showGridLines="0" topLeftCell="A24" zoomScaleNormal="100" workbookViewId="0">
      <selection activeCell="N44" sqref="N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SUM('1212'!K44:L44)</f>
        <v>183264</v>
      </c>
      <c r="F10" s="42"/>
      <c r="G10" s="12">
        <f>SUM('1212'!N44)</f>
        <v>1456.372245411407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>
        <v>8000</v>
      </c>
      <c r="M16" s="102"/>
      <c r="N16" s="91">
        <f>IF(L16="","",($G$10))</f>
        <v>1456.372245411407</v>
      </c>
      <c r="O16" s="92">
        <f>IF(L16="","",(SUM(M16)-N16))</f>
        <v>-1456.372245411407</v>
      </c>
      <c r="P16" s="93">
        <f>IF(L16="","",(L16*O16))</f>
        <v>-11650977.963291256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-11650977.963291256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175264</v>
      </c>
      <c r="D30" s="175"/>
      <c r="E30" s="176">
        <f>$G$10</f>
        <v>1456.372245411407</v>
      </c>
      <c r="F30" s="176"/>
      <c r="G30" s="175">
        <f>C30*E30</f>
        <v>255249625.21978483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175264</v>
      </c>
      <c r="D37" s="175"/>
      <c r="E37" s="175">
        <f>$G$30+$O$30-K37</f>
        <v>255249625.21978483</v>
      </c>
      <c r="F37" s="175"/>
      <c r="G37" s="176">
        <f>E37/C37</f>
        <v>1456.372245411407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/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183264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175264</v>
      </c>
      <c r="L44" s="171"/>
      <c r="M44" s="64">
        <f>SUM($K$44)/D10</f>
        <v>0.21908</v>
      </c>
      <c r="N44" s="65">
        <f>$G$37</f>
        <v>1456.372245411407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Y124"/>
  <sheetViews>
    <sheetView showGridLines="0" topLeftCell="A33" zoomScaleNormal="100" workbookViewId="0">
      <selection activeCell="AC34" sqref="AC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SUM('1215'!K44:L44)</f>
        <v>175264</v>
      </c>
      <c r="F10" s="42"/>
      <c r="G10" s="12">
        <f>SUM('1215'!N44)</f>
        <v>1456.372245411407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44</v>
      </c>
      <c r="L16" s="35">
        <v>8000</v>
      </c>
      <c r="M16" s="102"/>
      <c r="N16" s="91">
        <f>IF(L16="","",($G$10))</f>
        <v>1456.372245411407</v>
      </c>
      <c r="O16" s="92">
        <f>IF(L16="","",(SUM(M16)-N16))</f>
        <v>-1456.372245411407</v>
      </c>
      <c r="P16" s="93">
        <f>IF(L16="","",(L16*O16))</f>
        <v>-11650977.963291256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-11650977.963291256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167264</v>
      </c>
      <c r="D30" s="175"/>
      <c r="E30" s="176">
        <f>$G$10</f>
        <v>1456.372245411407</v>
      </c>
      <c r="F30" s="176"/>
      <c r="G30" s="175">
        <f>C30*E30</f>
        <v>243598647.25649357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167264</v>
      </c>
      <c r="D37" s="175"/>
      <c r="E37" s="175">
        <f>$G$30+$O$30-K37</f>
        <v>243598647.25649357</v>
      </c>
      <c r="F37" s="175"/>
      <c r="G37" s="176">
        <f>E37/C37</f>
        <v>1456.372245411407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/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175264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167264</v>
      </c>
      <c r="L44" s="171"/>
      <c r="M44" s="64">
        <f>SUM($K$44)/D10</f>
        <v>0.20907999999999999</v>
      </c>
      <c r="N44" s="65">
        <f>$G$37</f>
        <v>1456.372245411407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B1:Y124"/>
  <sheetViews>
    <sheetView showGridLines="0" topLeftCell="A26" zoomScaleNormal="100" workbookViewId="0">
      <selection activeCell="R40" sqref="R4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SUM('1222'!K44:L44)</f>
        <v>167264</v>
      </c>
      <c r="F10" s="42"/>
      <c r="G10" s="12">
        <f>SUM('1222'!N44)</f>
        <v>1456.372245411407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167264</v>
      </c>
      <c r="D30" s="175"/>
      <c r="E30" s="176">
        <f>$G$10</f>
        <v>1456.372245411407</v>
      </c>
      <c r="F30" s="176"/>
      <c r="G30" s="175">
        <f>C30*E30</f>
        <v>243598647.25649357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46015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167264</v>
      </c>
      <c r="D37" s="175"/>
      <c r="E37" s="175">
        <f>$G$30+$O$30-K37</f>
        <v>243598647.25649357</v>
      </c>
      <c r="F37" s="175"/>
      <c r="G37" s="176">
        <f>E37/C37</f>
        <v>1456.372245411407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28137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>
        <v>1452.1</v>
      </c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167264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167264</v>
      </c>
      <c r="L44" s="171"/>
      <c r="M44" s="64">
        <f>SUM($K$44)/D10</f>
        <v>0.20907999999999999</v>
      </c>
      <c r="N44" s="65">
        <f>$G$37</f>
        <v>1456.372245411407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B1:Y124"/>
  <sheetViews>
    <sheetView showGridLines="0" topLeftCell="A25" zoomScaleNormal="100" workbookViewId="0">
      <selection activeCell="R36" sqref="R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SUM('1224'!K44:L44)</f>
        <v>167264</v>
      </c>
      <c r="F10" s="42"/>
      <c r="G10" s="12">
        <f>SUM('1224'!N44)</f>
        <v>1456.372245411407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167264</v>
      </c>
      <c r="D30" s="175"/>
      <c r="E30" s="176">
        <f>$G$10</f>
        <v>1456.372245411407</v>
      </c>
      <c r="F30" s="176"/>
      <c r="G30" s="175">
        <f>C30*E30</f>
        <v>243598647.25649357</v>
      </c>
      <c r="H30" s="201"/>
      <c r="I30" s="16"/>
      <c r="J30" s="47" t="s">
        <v>11</v>
      </c>
      <c r="K30" s="208">
        <v>161037</v>
      </c>
      <c r="L30" s="209"/>
      <c r="M30" s="210">
        <v>1449.1</v>
      </c>
      <c r="N30" s="211"/>
      <c r="O30" s="175">
        <f>K30*M30</f>
        <v>233358716.69999999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46015</v>
      </c>
      <c r="S36" s="173"/>
      <c r="T36" s="172">
        <v>46017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328301</v>
      </c>
      <c r="D37" s="175"/>
      <c r="E37" s="175">
        <f>$G$30+$O$30-K37</f>
        <v>476957363.95649356</v>
      </c>
      <c r="F37" s="175"/>
      <c r="G37" s="176">
        <f>E37/C37</f>
        <v>1452.8050903180117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28137</v>
      </c>
      <c r="S38" s="120"/>
      <c r="T38" s="120">
        <v>112719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5" t="s">
        <v>47</v>
      </c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>
        <v>1452.1</v>
      </c>
      <c r="S40" s="127"/>
      <c r="T40" s="127">
        <v>1452.1</v>
      </c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30">
        <f>+T38+K30</f>
        <v>273756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167264</v>
      </c>
      <c r="D44" s="168"/>
      <c r="E44" s="63"/>
      <c r="F44" s="169">
        <f>$K$30</f>
        <v>161037</v>
      </c>
      <c r="G44" s="170"/>
      <c r="H44" s="170">
        <f>$L$23</f>
        <v>0</v>
      </c>
      <c r="I44" s="170"/>
      <c r="J44" s="170"/>
      <c r="K44" s="171">
        <f>$C$44-$H$44+$F$44+$O$44</f>
        <v>328301</v>
      </c>
      <c r="L44" s="171"/>
      <c r="M44" s="64">
        <f>SUM($K$44)/D10</f>
        <v>0.41037625</v>
      </c>
      <c r="N44" s="65">
        <f>$G$37</f>
        <v>1452.8050903180117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1:Y124"/>
  <sheetViews>
    <sheetView showGridLines="0" topLeftCell="A26" zoomScaleNormal="100" workbookViewId="0">
      <selection activeCell="P42" sqref="P4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SUM('1226'!K44:L44)</f>
        <v>328301</v>
      </c>
      <c r="F10" s="42"/>
      <c r="G10" s="12">
        <f>SUM('1226'!N44)</f>
        <v>1452.8050903180117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328301</v>
      </c>
      <c r="D30" s="175"/>
      <c r="E30" s="176">
        <f>$G$10</f>
        <v>1452.8050903180117</v>
      </c>
      <c r="F30" s="176"/>
      <c r="G30" s="175">
        <f>C30*E30</f>
        <v>476957363.95649356</v>
      </c>
      <c r="H30" s="201"/>
      <c r="I30" s="16"/>
      <c r="J30" s="47" t="s">
        <v>11</v>
      </c>
      <c r="K30" s="208">
        <v>112795</v>
      </c>
      <c r="L30" s="209"/>
      <c r="M30" s="210">
        <v>1424.3223582292501</v>
      </c>
      <c r="N30" s="211"/>
      <c r="O30" s="175">
        <f>K30*M30</f>
        <v>160656440.39646825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46015</v>
      </c>
      <c r="S36" s="173"/>
      <c r="T36" s="172">
        <v>46017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441096</v>
      </c>
      <c r="D37" s="175"/>
      <c r="E37" s="175">
        <f>$G$30+$O$30-K37</f>
        <v>637613804.35296178</v>
      </c>
      <c r="F37" s="175"/>
      <c r="G37" s="176">
        <f>E37/C37</f>
        <v>1445.521619676809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28137</v>
      </c>
      <c r="S38" s="120"/>
      <c r="T38" s="120">
        <v>112719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5" t="s">
        <v>47</v>
      </c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6"/>
      <c r="R40" s="18"/>
      <c r="S40" s="127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328301</v>
      </c>
      <c r="D44" s="168"/>
      <c r="E44" s="63"/>
      <c r="F44" s="169">
        <f>$K$30</f>
        <v>112795</v>
      </c>
      <c r="G44" s="170"/>
      <c r="H44" s="170">
        <f>$L$23</f>
        <v>0</v>
      </c>
      <c r="I44" s="170"/>
      <c r="J44" s="170"/>
      <c r="K44" s="171">
        <f>$C$44-$H$44+$F$44+$O$44</f>
        <v>441096</v>
      </c>
      <c r="L44" s="171"/>
      <c r="M44" s="64">
        <f>SUM($K$44)/D10</f>
        <v>0.55137000000000003</v>
      </c>
      <c r="N44" s="65">
        <f>$G$37</f>
        <v>1445.521619676809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Y124"/>
  <sheetViews>
    <sheetView showGridLines="0" topLeftCell="A28" zoomScaleNormal="100" workbookViewId="0">
      <selection activeCell="O48" sqref="O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SUM('1229'!K44:L44)</f>
        <v>441096</v>
      </c>
      <c r="F10" s="42"/>
      <c r="G10" s="12">
        <f>SUM('1229'!N44)</f>
        <v>1445.521619676809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48</v>
      </c>
      <c r="L16" s="35">
        <v>28000</v>
      </c>
      <c r="M16" s="102"/>
      <c r="N16" s="91">
        <f>IF(L16="","",($G$10))</f>
        <v>1445.521619676809</v>
      </c>
      <c r="O16" s="92">
        <f>IF(L16="","",(SUM(M16)-N16))</f>
        <v>-1445.521619676809</v>
      </c>
      <c r="P16" s="93">
        <f>IF(L16="","",(L16*O16))</f>
        <v>-40474605.350950651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49</v>
      </c>
      <c r="L17" s="35">
        <v>1054</v>
      </c>
      <c r="M17" s="15"/>
      <c r="N17" s="94">
        <f t="shared" ref="N17:N22" si="3">IF(L17="","",($G$10))</f>
        <v>1445.521619676809</v>
      </c>
      <c r="O17" s="95">
        <f t="shared" ref="O17:O22" si="4">IF(L17="","",(SUM(M17)-N17))</f>
        <v>-1445.521619676809</v>
      </c>
      <c r="P17" s="96">
        <f t="shared" ref="P17:P22" si="5">IF(L17="","",(L17*O17))</f>
        <v>-1523579.7871393566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29054</v>
      </c>
      <c r="M23" s="89"/>
      <c r="N23" s="89"/>
      <c r="O23" s="89"/>
      <c r="P23" s="90">
        <f>SUM(P16:P22)</f>
        <v>-41998185.138090007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412042</v>
      </c>
      <c r="D30" s="175"/>
      <c r="E30" s="176">
        <f>$G$10</f>
        <v>1445.521619676809</v>
      </c>
      <c r="F30" s="176"/>
      <c r="G30" s="175">
        <f>C30*E30</f>
        <v>595615619.21487176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>
        <v>46017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412042</v>
      </c>
      <c r="D37" s="175"/>
      <c r="E37" s="175">
        <f>$G$30+$O$30-K37</f>
        <v>595615619.21487176</v>
      </c>
      <c r="F37" s="175"/>
      <c r="G37" s="176">
        <f>E37/C37</f>
        <v>1445.521619676809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>
        <f>112719-28000+137</f>
        <v>84856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5" t="s">
        <v>50</v>
      </c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23">
        <v>46387</v>
      </c>
      <c r="R40" s="22" t="s">
        <v>51</v>
      </c>
      <c r="S40" s="2" t="s">
        <v>52</v>
      </c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26"/>
      <c r="R41" s="18"/>
      <c r="S41" s="127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441096</v>
      </c>
      <c r="D44" s="168"/>
      <c r="E44" s="63"/>
      <c r="F44" s="169">
        <f>$K$30</f>
        <v>0</v>
      </c>
      <c r="G44" s="170"/>
      <c r="H44" s="170">
        <f>$L$23</f>
        <v>29054</v>
      </c>
      <c r="I44" s="170"/>
      <c r="J44" s="170"/>
      <c r="K44" s="171">
        <f>$C$44-$H$44+$F$44+$O$44</f>
        <v>412042</v>
      </c>
      <c r="L44" s="171"/>
      <c r="M44" s="64">
        <f>SUM($K$44)/D10</f>
        <v>0.51505250000000002</v>
      </c>
      <c r="N44" s="65">
        <f>$G$37</f>
        <v>1445.521619676809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Y124"/>
  <sheetViews>
    <sheetView showGridLines="0" topLeftCell="A31" zoomScaleNormal="100" workbookViewId="0">
      <selection activeCell="M34" sqref="M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SUM('1231'!K44:L44)</f>
        <v>412042</v>
      </c>
      <c r="F10" s="42"/>
      <c r="G10" s="12">
        <f>SUM('1231'!N44)</f>
        <v>1445.521619676809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412042</v>
      </c>
      <c r="D30" s="175"/>
      <c r="E30" s="176">
        <f>$G$10</f>
        <v>1445.521619676809</v>
      </c>
      <c r="F30" s="176"/>
      <c r="G30" s="175">
        <f>C30*E30</f>
        <v>595615619.21487176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>
        <v>46017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412042</v>
      </c>
      <c r="D37" s="175"/>
      <c r="E37" s="175">
        <f>$G$30+$O$30-K37</f>
        <v>594944136.84187829</v>
      </c>
      <c r="F37" s="175"/>
      <c r="G37" s="176">
        <f>E37/C37</f>
        <v>1443.8919742207793</v>
      </c>
      <c r="H37" s="177"/>
      <c r="I37" s="16"/>
      <c r="J37" s="17"/>
      <c r="K37" s="17">
        <v>671482.37299349299</v>
      </c>
      <c r="L37" s="17" t="s">
        <v>53</v>
      </c>
      <c r="M37" s="17"/>
      <c r="N37" s="23"/>
      <c r="O37" s="18"/>
      <c r="P37" s="18"/>
      <c r="R37" s="121"/>
      <c r="S37" s="121"/>
      <c r="T37" s="134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>
        <v>56856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 t="s">
        <v>54</v>
      </c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 t="s">
        <v>55</v>
      </c>
      <c r="R40" s="132" t="s">
        <v>51</v>
      </c>
      <c r="S40" s="131" t="s">
        <v>52</v>
      </c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 t="s">
        <v>56</v>
      </c>
      <c r="R41" s="132" t="s">
        <v>57</v>
      </c>
      <c r="S41" s="131" t="s">
        <v>58</v>
      </c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26"/>
      <c r="R42" s="18"/>
      <c r="S42" s="127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412042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415560</v>
      </c>
      <c r="L44" s="171"/>
      <c r="M44" s="64">
        <f>SUM($K$44)/D10</f>
        <v>0.51944999999999997</v>
      </c>
      <c r="N44" s="65">
        <f>$G$37</f>
        <v>1443.8919742207793</v>
      </c>
      <c r="O44" s="101">
        <v>3518</v>
      </c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Y124"/>
  <sheetViews>
    <sheetView showGridLines="0" topLeftCell="A28" zoomScaleNormal="100" workbookViewId="0">
      <selection activeCell="Q43" sqref="Q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SUM('0102'!K44:L44)</f>
        <v>415560</v>
      </c>
      <c r="F10" s="42"/>
      <c r="G10" s="12">
        <f>SUM('0102'!N44)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59</v>
      </c>
      <c r="L16" s="35">
        <v>8000</v>
      </c>
      <c r="M16" s="102"/>
      <c r="N16" s="91">
        <f>IF(L16="","",($G$10))</f>
        <v>1443.8919742207793</v>
      </c>
      <c r="O16" s="92">
        <f>IF(L16="","",(SUM(M16)-N16))</f>
        <v>-1443.8919742207793</v>
      </c>
      <c r="P16" s="93">
        <f>IF(L16="","",(L16*O16))</f>
        <v>-11551135.793766234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-11551135.793766234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407560</v>
      </c>
      <c r="D30" s="175"/>
      <c r="E30" s="176">
        <f>$G$10</f>
        <v>1443.8919742207793</v>
      </c>
      <c r="F30" s="176"/>
      <c r="G30" s="175">
        <f>C30*E30</f>
        <v>588472613.01342082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>
        <v>46017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407560</v>
      </c>
      <c r="D37" s="175"/>
      <c r="E37" s="175">
        <f>$G$30+$O$30-K37</f>
        <v>588472613.01342082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34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>
        <v>28856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 t="s">
        <v>46</v>
      </c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 t="s">
        <v>55</v>
      </c>
      <c r="R40" s="132" t="s">
        <v>51</v>
      </c>
      <c r="S40" s="131" t="s">
        <v>52</v>
      </c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 t="s">
        <v>56</v>
      </c>
      <c r="R41" s="132" t="s">
        <v>57</v>
      </c>
      <c r="S41" s="131" t="s">
        <v>58</v>
      </c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 t="s">
        <v>60</v>
      </c>
      <c r="R42" s="132" t="s">
        <v>57</v>
      </c>
      <c r="S42" s="131" t="s">
        <v>58</v>
      </c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26"/>
      <c r="R43" s="18"/>
      <c r="S43" s="127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415560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407560</v>
      </c>
      <c r="L44" s="171"/>
      <c r="M44" s="64">
        <f>SUM($K$44)/D10</f>
        <v>0.50944999999999996</v>
      </c>
      <c r="N44" s="65">
        <f>$G$37</f>
        <v>1443.8919742207793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Y124"/>
  <sheetViews>
    <sheetView showGridLines="0" topLeftCell="A29" zoomScaleNormal="100" workbookViewId="0">
      <selection activeCell="N43" sqref="N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SUM('0105'!K44:L44)</f>
        <v>407560</v>
      </c>
      <c r="F10" s="42"/>
      <c r="G10" s="12">
        <f>SUM('0105'!N44)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407560</v>
      </c>
      <c r="D30" s="175"/>
      <c r="E30" s="176">
        <f>$G$10</f>
        <v>1443.8919742207793</v>
      </c>
      <c r="F30" s="176"/>
      <c r="G30" s="175">
        <f>C30*E30</f>
        <v>588472613.01342082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>
        <v>46017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407560</v>
      </c>
      <c r="D37" s="175"/>
      <c r="E37" s="175">
        <f>$G$30+$O$30-K37</f>
        <v>588472613.01342082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34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>
        <v>856</v>
      </c>
      <c r="U38" s="120" t="s">
        <v>61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 t="s">
        <v>55</v>
      </c>
      <c r="R40" s="132" t="s">
        <v>51</v>
      </c>
      <c r="S40" s="131" t="s">
        <v>52</v>
      </c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 t="s">
        <v>56</v>
      </c>
      <c r="R41" s="132" t="s">
        <v>57</v>
      </c>
      <c r="S41" s="131" t="s">
        <v>58</v>
      </c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 t="s">
        <v>60</v>
      </c>
      <c r="R42" s="132" t="s">
        <v>57</v>
      </c>
      <c r="S42" s="131" t="s">
        <v>58</v>
      </c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 t="s">
        <v>62</v>
      </c>
      <c r="R43" s="132" t="s">
        <v>57</v>
      </c>
      <c r="S43" s="131" t="s">
        <v>58</v>
      </c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407560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408416</v>
      </c>
      <c r="L44" s="171"/>
      <c r="M44" s="64">
        <f>SUM($K$44)/D10</f>
        <v>0.51051999999999997</v>
      </c>
      <c r="N44" s="65">
        <f>$G$37</f>
        <v>1443.8919742207793</v>
      </c>
      <c r="O44" s="101">
        <v>856</v>
      </c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Y124"/>
  <sheetViews>
    <sheetView showGridLines="0" topLeftCell="A31" zoomScaleNormal="100" workbookViewId="0">
      <selection activeCell="T36" sqref="T36:U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SUM('0107'!K44:L44)</f>
        <v>408416</v>
      </c>
      <c r="F10" s="42"/>
      <c r="G10" s="12">
        <f>SUM('0107'!N44)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63</v>
      </c>
      <c r="L16" s="35">
        <v>20000</v>
      </c>
      <c r="M16" s="102"/>
      <c r="N16" s="91">
        <f>IF(L16="","",($G$10))</f>
        <v>1443.8919742207793</v>
      </c>
      <c r="O16" s="92">
        <f>IF(L16="","",(SUM(M16)-N16))</f>
        <v>-1443.8919742207793</v>
      </c>
      <c r="P16" s="93">
        <f>IF(L16="","",(L16*O16))</f>
        <v>-28877839.484415587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64</v>
      </c>
      <c r="L17" s="35">
        <v>8000</v>
      </c>
      <c r="M17" s="15"/>
      <c r="N17" s="94">
        <f t="shared" ref="N17:N22" si="3">IF(L17="","",($G$10))</f>
        <v>1443.8919742207793</v>
      </c>
      <c r="O17" s="95">
        <f t="shared" ref="O17:O22" si="4">IF(L17="","",(SUM(M17)-N17))</f>
        <v>-1443.8919742207793</v>
      </c>
      <c r="P17" s="96">
        <f t="shared" ref="P17:P22" si="5">IF(L17="","",(L17*O17))</f>
        <v>-11551135.793766234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-40428975.278181821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380416</v>
      </c>
      <c r="D30" s="175"/>
      <c r="E30" s="176">
        <f>$G$10</f>
        <v>1443.8919742207793</v>
      </c>
      <c r="F30" s="176"/>
      <c r="G30" s="175">
        <f>C30*E30</f>
        <v>549279609.265172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380416</v>
      </c>
      <c r="D37" s="175"/>
      <c r="E37" s="175">
        <f>$G$30+$O$30-K37</f>
        <v>549279609.265172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34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408416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380416</v>
      </c>
      <c r="L44" s="171"/>
      <c r="M44" s="64">
        <f>SUM($K$44)/D10</f>
        <v>0.47552</v>
      </c>
      <c r="N44" s="65">
        <f>$G$37</f>
        <v>1443.8919742207793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Y124"/>
  <sheetViews>
    <sheetView showGridLines="0" topLeftCell="A30" zoomScaleNormal="100" workbookViewId="0">
      <selection activeCell="W37" sqref="W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SUM('0109'!K44:L44)</f>
        <v>380416</v>
      </c>
      <c r="F10" s="42"/>
      <c r="G10" s="12">
        <f>SUM('0109'!N44)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65</v>
      </c>
      <c r="L16" s="35">
        <v>28000</v>
      </c>
      <c r="M16" s="102"/>
      <c r="N16" s="91">
        <f>IF(L16="","",($G$10))</f>
        <v>1443.8919742207793</v>
      </c>
      <c r="O16" s="92">
        <f>IF(L16="","",(SUM(M16)-N16))</f>
        <v>-1443.8919742207793</v>
      </c>
      <c r="P16" s="93">
        <f>IF(L16="","",(L16*O16))</f>
        <v>-40428975.278181821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66</v>
      </c>
      <c r="L17" s="35">
        <v>32000</v>
      </c>
      <c r="M17" s="15"/>
      <c r="N17" s="94">
        <f t="shared" ref="N17:N22" si="3">IF(L17="","",($G$10))</f>
        <v>1443.8919742207793</v>
      </c>
      <c r="O17" s="95">
        <f t="shared" ref="O17:O22" si="4">IF(L17="","",(SUM(M17)-N17))</f>
        <v>-1443.8919742207793</v>
      </c>
      <c r="P17" s="96">
        <f t="shared" ref="P17:P22" si="5">IF(L17="","",(L17*O17))</f>
        <v>-46204543.175064936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-86633518.453246757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320416</v>
      </c>
      <c r="D30" s="175"/>
      <c r="E30" s="176">
        <f>$G$10</f>
        <v>1443.8919742207793</v>
      </c>
      <c r="F30" s="176"/>
      <c r="G30" s="175">
        <f>C30*E30</f>
        <v>462646090.81192523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320416</v>
      </c>
      <c r="D37" s="175"/>
      <c r="E37" s="175">
        <f>$G$30+$O$30-K37</f>
        <v>462646090.81192523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34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380416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320416</v>
      </c>
      <c r="L44" s="171"/>
      <c r="M44" s="64">
        <f>SUM($K$44)/D10</f>
        <v>0.40051999999999999</v>
      </c>
      <c r="N44" s="65">
        <f>$G$37</f>
        <v>1443.8919742207793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Y124"/>
  <sheetViews>
    <sheetView showGridLines="0" topLeftCell="A34" zoomScaleNormal="100" workbookViewId="0">
      <selection activeCell="U49" sqref="U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SUM('0119'!K44:L44)</f>
        <v>320416</v>
      </c>
      <c r="F10" s="42"/>
      <c r="G10" s="12">
        <f>SUM('0119'!N44)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67</v>
      </c>
      <c r="L16" s="35">
        <v>28000</v>
      </c>
      <c r="M16" s="102"/>
      <c r="N16" s="91">
        <f>IF(L16="","",($G$10))</f>
        <v>1443.8919742207793</v>
      </c>
      <c r="O16" s="92">
        <f>IF(L16="","",(SUM(M16)-N16))</f>
        <v>-1443.8919742207793</v>
      </c>
      <c r="P16" s="93">
        <f>IF(L16="","",(L16*O16))</f>
        <v>-40428975.278181821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28000</v>
      </c>
      <c r="M17" s="15"/>
      <c r="N17" s="94">
        <f t="shared" ref="N17:N22" si="3">IF(L17="","",($G$10))</f>
        <v>1443.8919742207793</v>
      </c>
      <c r="O17" s="95">
        <f t="shared" ref="O17:O22" si="4">IF(L17="","",(SUM(M17)-N17))</f>
        <v>-1443.8919742207793</v>
      </c>
      <c r="P17" s="96">
        <f t="shared" ref="P17:P22" si="5">IF(L17="","",(L17*O17))</f>
        <v>-40428975.278181821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56000</v>
      </c>
      <c r="M23" s="89"/>
      <c r="N23" s="89"/>
      <c r="O23" s="89"/>
      <c r="P23" s="90">
        <f>SUM(P16:P22)</f>
        <v>-80857950.556363642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264416</v>
      </c>
      <c r="D30" s="175"/>
      <c r="E30" s="176">
        <f>$G$10</f>
        <v>1443.8919742207793</v>
      </c>
      <c r="F30" s="176"/>
      <c r="G30" s="175">
        <f>C30*E30</f>
        <v>381788140.25556159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264416</v>
      </c>
      <c r="D37" s="175"/>
      <c r="E37" s="175">
        <f>$G$30+$O$30-K37</f>
        <v>381788140.25556159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34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320416</v>
      </c>
      <c r="D44" s="168"/>
      <c r="E44" s="63"/>
      <c r="F44" s="169">
        <f>$K$30</f>
        <v>0</v>
      </c>
      <c r="G44" s="170"/>
      <c r="H44" s="170">
        <f>$L$23</f>
        <v>56000</v>
      </c>
      <c r="I44" s="170"/>
      <c r="J44" s="170"/>
      <c r="K44" s="171">
        <f>$C$44-$H$44+$F$44+$O$44</f>
        <v>264416</v>
      </c>
      <c r="L44" s="171"/>
      <c r="M44" s="64">
        <f>SUM($K$44)/D10</f>
        <v>0.33051999999999998</v>
      </c>
      <c r="N44" s="65">
        <f>$G$37</f>
        <v>1443.8919742207793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Y124"/>
  <sheetViews>
    <sheetView showGridLines="0" topLeftCell="A31" zoomScaleNormal="100" workbookViewId="0">
      <selection activeCell="AU15" sqref="AU1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SUM('0120'!K44:L44)</f>
        <v>264416</v>
      </c>
      <c r="F10" s="42"/>
      <c r="G10" s="12">
        <f>SUM('0120'!N44)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1443.8919742207793</v>
      </c>
      <c r="O16" s="92">
        <f>IF(L16="","",(SUM(M16)-N16))</f>
        <v>-1443.8919742207793</v>
      </c>
      <c r="P16" s="93">
        <f>IF(L16="","",(L16*O16))</f>
        <v>-11551135.793766234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-11551135.793766234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256416</v>
      </c>
      <c r="D30" s="175"/>
      <c r="E30" s="176">
        <f>$G$10</f>
        <v>1443.8919742207793</v>
      </c>
      <c r="F30" s="176"/>
      <c r="G30" s="175">
        <f>C30*E30</f>
        <v>370237004.46179533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256416</v>
      </c>
      <c r="D37" s="175"/>
      <c r="E37" s="175">
        <f>$G$30+$O$30-K37</f>
        <v>370237004.46179533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34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35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34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264416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256416</v>
      </c>
      <c r="L44" s="171"/>
      <c r="M44" s="64">
        <f>SUM($K$44)/D10</f>
        <v>0.32052000000000003</v>
      </c>
      <c r="N44" s="65">
        <f>$G$37</f>
        <v>1443.8919742207793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B1:Y124"/>
  <sheetViews>
    <sheetView showGridLines="0" topLeftCell="A28" zoomScaleNormal="100" workbookViewId="0">
      <selection activeCell="R38" sqref="A1:Y12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SUM('0122'!K44:L44)</f>
        <v>256416</v>
      </c>
      <c r="F10" s="42"/>
      <c r="G10" s="12">
        <f>SUM('0122'!N44)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256416</v>
      </c>
      <c r="D30" s="175"/>
      <c r="E30" s="176">
        <f>$G$10</f>
        <v>1443.8919742207793</v>
      </c>
      <c r="F30" s="176"/>
      <c r="G30" s="175">
        <f>C30*E30</f>
        <v>370237004.46179533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256416</v>
      </c>
      <c r="D37" s="175"/>
      <c r="E37" s="175">
        <f>$G$30+$O$30-K37</f>
        <v>370237004.46179533</v>
      </c>
      <c r="F37" s="175"/>
      <c r="G37" s="176">
        <f>E37/C37</f>
        <v>1443.8919742207793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</f>
        <v>56356</v>
      </c>
      <c r="S38" s="120">
        <v>32195</v>
      </c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256416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256416</v>
      </c>
      <c r="L44" s="171"/>
      <c r="M44" s="64">
        <f>SUM($K$44)/D10</f>
        <v>0.32052000000000003</v>
      </c>
      <c r="N44" s="65">
        <f>$G$37</f>
        <v>1443.8919742207793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B1:Y124"/>
  <sheetViews>
    <sheetView showGridLines="0" topLeftCell="A25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SUM('0127'!K44:L44)</f>
        <v>256416</v>
      </c>
      <c r="F10" s="42"/>
      <c r="G10" s="12">
        <f>SUM('0127'!N44)</f>
        <v>1443.8919742207793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256416</v>
      </c>
      <c r="D30" s="175"/>
      <c r="E30" s="176">
        <f>$G$10</f>
        <v>1443.8919742207793</v>
      </c>
      <c r="F30" s="176"/>
      <c r="G30" s="175">
        <f>C30*E30</f>
        <v>370237004.46179533</v>
      </c>
      <c r="H30" s="201"/>
      <c r="I30" s="16"/>
      <c r="J30" s="47" t="s">
        <v>11</v>
      </c>
      <c r="K30" s="208">
        <v>28185</v>
      </c>
      <c r="L30" s="209"/>
      <c r="M30" s="210">
        <v>1433.09</v>
      </c>
      <c r="N30" s="211"/>
      <c r="O30" s="175">
        <f>K30*M30</f>
        <v>40391641.649999999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284601</v>
      </c>
      <c r="D37" s="175"/>
      <c r="E37" s="175">
        <f>$G$30+$O$30-K37</f>
        <v>410628646.11179531</v>
      </c>
      <c r="F37" s="175"/>
      <c r="G37" s="176">
        <f>E37/C37</f>
        <v>1442.8222181643609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45</v>
      </c>
      <c r="U37" s="121" t="s">
        <v>69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</f>
        <v>56356</v>
      </c>
      <c r="S38" s="120">
        <v>32195</v>
      </c>
      <c r="T38" s="120">
        <v>84559</v>
      </c>
      <c r="U38" s="120">
        <v>64476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1" t="s">
        <v>50</v>
      </c>
      <c r="U39" s="125" t="s">
        <v>54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256416</v>
      </c>
      <c r="D44" s="168"/>
      <c r="E44" s="63"/>
      <c r="F44" s="169">
        <f>$K$30</f>
        <v>28185</v>
      </c>
      <c r="G44" s="170"/>
      <c r="H44" s="170">
        <f>$L$23</f>
        <v>0</v>
      </c>
      <c r="I44" s="170"/>
      <c r="J44" s="170"/>
      <c r="K44" s="171">
        <f>$C$44-$H$44+$F$44+$O$44</f>
        <v>284601</v>
      </c>
      <c r="L44" s="171"/>
      <c r="M44" s="64">
        <f>SUM($K$44)/D10</f>
        <v>0.35575125000000002</v>
      </c>
      <c r="N44" s="65">
        <f>$G$37</f>
        <v>1442.8222181643609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B1:Y124"/>
  <sheetViews>
    <sheetView showGridLines="0" topLeftCell="A19" zoomScaleNormal="100" workbookViewId="0">
      <selection activeCell="L16" sqref="L1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SUM('0128'!K44:L44)</f>
        <v>284601</v>
      </c>
      <c r="F10" s="42"/>
      <c r="G10" s="12">
        <f>SUM('0128'!N44)</f>
        <v>1442.8222181643609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1442.8222181643609</v>
      </c>
      <c r="O16" s="92">
        <f>IF(L16="","",(SUM(M16)-N16))</f>
        <v>-1442.8222181643609</v>
      </c>
      <c r="P16" s="93">
        <f>IF(L16="","",(L16*O16))</f>
        <v>-11542577.745314887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-11542577.745314887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276601</v>
      </c>
      <c r="D30" s="175"/>
      <c r="E30" s="176">
        <f>$G$10</f>
        <v>1442.8222181643609</v>
      </c>
      <c r="F30" s="176"/>
      <c r="G30" s="175">
        <f>C30*E30</f>
        <v>399086068.36648041</v>
      </c>
      <c r="H30" s="201"/>
      <c r="I30" s="16"/>
      <c r="J30" s="47" t="s">
        <v>11</v>
      </c>
      <c r="K30" s="208">
        <v>28216</v>
      </c>
      <c r="L30" s="209"/>
      <c r="M30" s="210">
        <v>1433.09</v>
      </c>
      <c r="N30" s="211"/>
      <c r="O30" s="175">
        <f>K30*M30</f>
        <v>40436067.439999998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304817</v>
      </c>
      <c r="D37" s="175"/>
      <c r="E37" s="175">
        <f>$G$30+$O$30-K37</f>
        <v>439522135.80648041</v>
      </c>
      <c r="F37" s="175"/>
      <c r="G37" s="176">
        <f>E37/C37</f>
        <v>1441.9213357735309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</f>
        <v>56356</v>
      </c>
      <c r="S38" s="120">
        <v>32195</v>
      </c>
      <c r="T38" s="120">
        <v>64476</v>
      </c>
      <c r="U38" s="120">
        <v>84559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284601</v>
      </c>
      <c r="D44" s="168"/>
      <c r="E44" s="63"/>
      <c r="F44" s="169">
        <f>$K$30</f>
        <v>28216</v>
      </c>
      <c r="G44" s="170"/>
      <c r="H44" s="170">
        <f>$L$23</f>
        <v>8000</v>
      </c>
      <c r="I44" s="170"/>
      <c r="J44" s="170"/>
      <c r="K44" s="171">
        <f>$C$44-$H$44+$F$44+$O$44</f>
        <v>304817</v>
      </c>
      <c r="L44" s="171"/>
      <c r="M44" s="64">
        <f>SUM($K$44)/D10</f>
        <v>0.38102124999999998</v>
      </c>
      <c r="N44" s="65">
        <f>$G$37</f>
        <v>1441.9213357735309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B1:Y124"/>
  <sheetViews>
    <sheetView showGridLines="0" topLeftCell="A28" zoomScaleNormal="100" workbookViewId="0">
      <selection activeCell="O36" sqref="O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SUM('0129'!K44:L44)</f>
        <v>304817</v>
      </c>
      <c r="F10" s="42"/>
      <c r="G10" s="12">
        <f>SUM('0129'!N44)</f>
        <v>1441.9213357735309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304817</v>
      </c>
      <c r="D30" s="175"/>
      <c r="E30" s="176">
        <f>$G$10</f>
        <v>1441.9213357735309</v>
      </c>
      <c r="F30" s="176"/>
      <c r="G30" s="175">
        <f>C30*E30</f>
        <v>439522135.80648035</v>
      </c>
      <c r="H30" s="201"/>
      <c r="I30" s="16"/>
      <c r="J30" s="47" t="s">
        <v>11</v>
      </c>
      <c r="K30" s="208">
        <v>56492</v>
      </c>
      <c r="L30" s="209"/>
      <c r="M30" s="210">
        <v>1433.09</v>
      </c>
      <c r="N30" s="211"/>
      <c r="O30" s="175">
        <f>K30*M30</f>
        <v>80958120.280000001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361309</v>
      </c>
      <c r="D37" s="175"/>
      <c r="E37" s="175">
        <f>$G$30+$O$30-K37</f>
        <v>520480256.08648038</v>
      </c>
      <c r="F37" s="175"/>
      <c r="G37" s="176">
        <f>E37/C37</f>
        <v>1440.5405237247905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</f>
        <v>56356</v>
      </c>
      <c r="S38" s="120">
        <v>32195</v>
      </c>
      <c r="T38" s="120">
        <v>64476</v>
      </c>
      <c r="U38" s="120">
        <v>84559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304817</v>
      </c>
      <c r="D44" s="168"/>
      <c r="E44" s="63"/>
      <c r="F44" s="169">
        <f>$K$30</f>
        <v>56492</v>
      </c>
      <c r="G44" s="170"/>
      <c r="H44" s="170">
        <f>$L$23</f>
        <v>0</v>
      </c>
      <c r="I44" s="170"/>
      <c r="J44" s="170"/>
      <c r="K44" s="171">
        <f>$C$44-$H$44+$F$44+$O$44</f>
        <v>361309</v>
      </c>
      <c r="L44" s="171"/>
      <c r="M44" s="64">
        <f>SUM($K$44)/D10</f>
        <v>0.45163625000000002</v>
      </c>
      <c r="N44" s="65">
        <f>$G$37</f>
        <v>1440.5405237247905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  <pageSetUpPr fitToPage="1"/>
  </sheetPr>
  <dimension ref="B1:Y124"/>
  <sheetViews>
    <sheetView showGridLines="0" topLeftCell="A28" zoomScaleNormal="100" workbookViewId="0">
      <selection activeCell="S42" sqref="S4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SUM('0130'!K44:L44)</f>
        <v>361309</v>
      </c>
      <c r="F10" s="42"/>
      <c r="G10" s="12">
        <f>SUM('0130'!N44)</f>
        <v>1440.5405237247905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361309</v>
      </c>
      <c r="D30" s="175"/>
      <c r="E30" s="176">
        <f>$G$10</f>
        <v>1440.5405237247905</v>
      </c>
      <c r="F30" s="176"/>
      <c r="G30" s="175">
        <f>C30*E30</f>
        <v>520480256.08648032</v>
      </c>
      <c r="H30" s="201"/>
      <c r="I30" s="16"/>
      <c r="J30" s="47" t="s">
        <v>11</v>
      </c>
      <c r="K30" s="208">
        <v>64000</v>
      </c>
      <c r="L30" s="209"/>
      <c r="M30" s="210">
        <v>1479.5</v>
      </c>
      <c r="N30" s="211"/>
      <c r="O30" s="175">
        <f>K30*M30</f>
        <v>94688000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425309</v>
      </c>
      <c r="D37" s="175"/>
      <c r="E37" s="175">
        <f>$G$30+$O$30-K37</f>
        <v>615168256.08648038</v>
      </c>
      <c r="F37" s="175"/>
      <c r="G37" s="176">
        <f>E37/C37</f>
        <v>1446.4031000671991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</f>
        <v>56356</v>
      </c>
      <c r="S38" s="120">
        <v>32195</v>
      </c>
      <c r="T38" s="120">
        <v>64476</v>
      </c>
      <c r="U38" s="120">
        <v>84559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2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/>
      <c r="S42" s="131"/>
      <c r="T42" s="127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361309</v>
      </c>
      <c r="D44" s="168"/>
      <c r="E44" s="63"/>
      <c r="F44" s="169">
        <f>$K$30</f>
        <v>64000</v>
      </c>
      <c r="G44" s="170"/>
      <c r="H44" s="170">
        <f>$L$23</f>
        <v>0</v>
      </c>
      <c r="I44" s="170"/>
      <c r="J44" s="170"/>
      <c r="K44" s="171">
        <f>$C$44-$H$44+$F$44+$O$44</f>
        <v>425309</v>
      </c>
      <c r="L44" s="171"/>
      <c r="M44" s="64">
        <f>SUM($K$44)/D10</f>
        <v>0.53163625000000003</v>
      </c>
      <c r="N44" s="65">
        <f>$G$37</f>
        <v>1446.4031000671991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Y124"/>
  <sheetViews>
    <sheetView showGridLines="0" topLeftCell="A22" zoomScaleNormal="100" workbookViewId="0">
      <selection activeCell="K44" sqref="K44:L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SUM('0131'!K44:L44)</f>
        <v>425309</v>
      </c>
      <c r="F10" s="42"/>
      <c r="G10" s="12">
        <f>SUM('0131'!N44)</f>
        <v>1446.4031000671991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425309</v>
      </c>
      <c r="D30" s="175"/>
      <c r="E30" s="176">
        <f>$G$10</f>
        <v>1446.4031000671991</v>
      </c>
      <c r="F30" s="176"/>
      <c r="G30" s="175">
        <f>C30*E30</f>
        <v>615168256.08648038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425309</v>
      </c>
      <c r="D37" s="175"/>
      <c r="E37" s="175">
        <f>$G$30+$O$30-K37</f>
        <v>615168256.08648038</v>
      </c>
      <c r="F37" s="175"/>
      <c r="G37" s="176">
        <f>E37/C37</f>
        <v>1446.4031000671991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</f>
        <v>28356</v>
      </c>
      <c r="S38" s="120">
        <v>32195</v>
      </c>
      <c r="T38" s="120">
        <v>64476</v>
      </c>
      <c r="U38" s="120">
        <v>84559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46056</v>
      </c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425309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425405</v>
      </c>
      <c r="L44" s="171"/>
      <c r="M44" s="64">
        <f>SUM($K$44)/D10</f>
        <v>0.53175625000000004</v>
      </c>
      <c r="N44" s="65">
        <f>$G$37</f>
        <v>1446.4031000671991</v>
      </c>
      <c r="O44" s="101">
        <v>96</v>
      </c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Y124"/>
  <sheetViews>
    <sheetView showGridLines="0" topLeftCell="A26" zoomScaleNormal="100" workbookViewId="0">
      <selection activeCell="M47" sqref="M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SUM('0203'!K44:L44)</f>
        <v>425405</v>
      </c>
      <c r="F10" s="42"/>
      <c r="G10" s="12">
        <f>SUM('0203'!N44)</f>
        <v>1446.4031000671991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48</v>
      </c>
      <c r="L16" s="35">
        <v>20000</v>
      </c>
      <c r="M16" s="102"/>
      <c r="N16" s="91">
        <f>IF(L16="","",($G$10))</f>
        <v>1446.4031000671991</v>
      </c>
      <c r="O16" s="92">
        <f>IF(L16="","",(SUM(M16)-N16))</f>
        <v>-1446.4031000671991</v>
      </c>
      <c r="P16" s="93">
        <f>IF(L16="","",(L16*O16))</f>
        <v>-28928062.001343984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64</v>
      </c>
      <c r="L17" s="35">
        <v>8000</v>
      </c>
      <c r="M17" s="15"/>
      <c r="N17" s="94">
        <f t="shared" ref="N17:N22" si="3">IF(L17="","",($G$10))</f>
        <v>1446.4031000671991</v>
      </c>
      <c r="O17" s="95">
        <f t="shared" ref="O17:O22" si="4">IF(L17="","",(SUM(M17)-N17))</f>
        <v>-1446.4031000671991</v>
      </c>
      <c r="P17" s="96">
        <f t="shared" ref="P17:P22" si="5">IF(L17="","",(L17*O17))</f>
        <v>-11571224.800537594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70</v>
      </c>
      <c r="L18" s="35">
        <v>32000</v>
      </c>
      <c r="M18" s="15"/>
      <c r="N18" s="94">
        <f t="shared" si="3"/>
        <v>1446.4031000671991</v>
      </c>
      <c r="O18" s="95">
        <f t="shared" si="4"/>
        <v>-1446.4031000671991</v>
      </c>
      <c r="P18" s="96">
        <f t="shared" si="5"/>
        <v>-46284899.202150375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-86784186.004031956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365405</v>
      </c>
      <c r="D30" s="175"/>
      <c r="E30" s="176">
        <f>$G$10</f>
        <v>1446.4031000671991</v>
      </c>
      <c r="F30" s="176"/>
      <c r="G30" s="175">
        <f>C30*E30</f>
        <v>528522924.78005493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365405</v>
      </c>
      <c r="D37" s="175"/>
      <c r="E37" s="175">
        <f>$G$30+$O$30-K37</f>
        <v>528522924.78005493</v>
      </c>
      <c r="F37" s="175"/>
      <c r="G37" s="176">
        <f>E37/C37</f>
        <v>1446.4031000671991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</f>
        <v>28356</v>
      </c>
      <c r="S38" s="120">
        <v>32195</v>
      </c>
      <c r="T38" s="120">
        <v>64476</v>
      </c>
      <c r="U38" s="120">
        <v>84559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46056</v>
      </c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425405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365405</v>
      </c>
      <c r="L44" s="171"/>
      <c r="M44" s="64">
        <f>SUM($K$44)/D10</f>
        <v>0.45675624999999997</v>
      </c>
      <c r="N44" s="65">
        <f>$G$37</f>
        <v>1446.4031000671991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Y124"/>
  <sheetViews>
    <sheetView showGridLines="0" topLeftCell="A28" zoomScaleNormal="100" workbookViewId="0">
      <selection activeCell="R38" sqref="R38:U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SUM('0205'!K44:L44)</f>
        <v>365405</v>
      </c>
      <c r="F10" s="42"/>
      <c r="G10" s="12">
        <f>SUM('0205'!N44)</f>
        <v>1446.4031000671991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71</v>
      </c>
      <c r="L16" s="35">
        <v>28000</v>
      </c>
      <c r="M16" s="102"/>
      <c r="N16" s="91">
        <f>IF(L16="","",($G$10))</f>
        <v>1446.4031000671991</v>
      </c>
      <c r="O16" s="92">
        <f>IF(L16="","",(SUM(M16)-N16))</f>
        <v>-1446.4031000671991</v>
      </c>
      <c r="P16" s="93">
        <f>IF(L16="","",(L16*O16))</f>
        <v>-40499286.801881574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-40499286.801881574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337405</v>
      </c>
      <c r="D30" s="175"/>
      <c r="E30" s="176">
        <f>$G$10</f>
        <v>1446.4031000671991</v>
      </c>
      <c r="F30" s="176"/>
      <c r="G30" s="175">
        <f>C30*E30</f>
        <v>488023637.97817332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337405</v>
      </c>
      <c r="D37" s="175"/>
      <c r="E37" s="175">
        <f>$G$30+$O$30-K37</f>
        <v>488023637.97817332</v>
      </c>
      <c r="F37" s="175"/>
      <c r="G37" s="176">
        <f>E37/C37</f>
        <v>1446.4031000671991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</f>
        <v>28356</v>
      </c>
      <c r="S38" s="120">
        <v>32195</v>
      </c>
      <c r="T38" s="120">
        <v>64476</v>
      </c>
      <c r="U38" s="120">
        <v>84559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46056</v>
      </c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3"/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3"/>
      <c r="R43" s="132"/>
      <c r="S43" s="131"/>
      <c r="T43" s="127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365405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337405</v>
      </c>
      <c r="L44" s="171"/>
      <c r="M44" s="64">
        <f>SUM($K$44)/D10</f>
        <v>0.42175625</v>
      </c>
      <c r="N44" s="65">
        <f>$G$37</f>
        <v>1446.4031000671991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Y124"/>
  <sheetViews>
    <sheetView showGridLines="0" topLeftCell="A23" zoomScaleNormal="100" workbookViewId="0">
      <selection activeCell="T46" sqref="T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SUM('0206'!K44:L44)</f>
        <v>337405</v>
      </c>
      <c r="F10" s="42"/>
      <c r="G10" s="12">
        <f>SUM('0206'!N44)</f>
        <v>1446.4031000671991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72</v>
      </c>
      <c r="L16" s="35">
        <v>64000</v>
      </c>
      <c r="M16" s="102"/>
      <c r="N16" s="91">
        <f>IF(L16="","",($G$10))</f>
        <v>1446.4031000671991</v>
      </c>
      <c r="O16" s="92">
        <f>IF(L16="","",(SUM(M16)-N16))</f>
        <v>-1446.4031000671991</v>
      </c>
      <c r="P16" s="93">
        <f>IF(L16="","",(L16*O16))</f>
        <v>-92569798.404300749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64000</v>
      </c>
      <c r="M23" s="89"/>
      <c r="N23" s="89"/>
      <c r="O23" s="89"/>
      <c r="P23" s="90">
        <f>SUM(P16:P22)</f>
        <v>-92569798.404300749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273405</v>
      </c>
      <c r="D30" s="175"/>
      <c r="E30" s="176">
        <f>$G$10</f>
        <v>1446.4031000671991</v>
      </c>
      <c r="F30" s="176"/>
      <c r="G30" s="175">
        <f>C30*E30</f>
        <v>395453839.57387257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273405</v>
      </c>
      <c r="D37" s="175"/>
      <c r="E37" s="175">
        <f>$G$30+$O$30-K37</f>
        <v>395453839.57387257</v>
      </c>
      <c r="F37" s="175"/>
      <c r="G37" s="176">
        <f>E37/C37</f>
        <v>1446.4031000671991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</f>
        <v>80559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337405</v>
      </c>
      <c r="D44" s="168"/>
      <c r="E44" s="63"/>
      <c r="F44" s="169">
        <f>$K$30</f>
        <v>0</v>
      </c>
      <c r="G44" s="170"/>
      <c r="H44" s="170">
        <f>$L$23</f>
        <v>64000</v>
      </c>
      <c r="I44" s="170"/>
      <c r="J44" s="170"/>
      <c r="K44" s="171">
        <f>$C$44-$H$44+$F$44+$O$44</f>
        <v>273405</v>
      </c>
      <c r="L44" s="171"/>
      <c r="M44" s="64">
        <f>SUM($K$44)/D10</f>
        <v>0.34175624999999998</v>
      </c>
      <c r="N44" s="65">
        <f>$G$37</f>
        <v>1446.4031000671991</v>
      </c>
      <c r="O44" s="101"/>
      <c r="P44" s="22"/>
      <c r="Q44" s="128"/>
      <c r="R44" s="114"/>
      <c r="S44" s="129"/>
      <c r="T44" s="129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  <pageSetUpPr fitToPage="1"/>
  </sheetPr>
  <dimension ref="B1:Y124"/>
  <sheetViews>
    <sheetView showGridLines="0" topLeftCell="A19" zoomScale="85" zoomScaleNormal="85" workbookViewId="0">
      <selection activeCell="N31" sqref="N3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SUM('0209'!K44:L44)</f>
        <v>273405</v>
      </c>
      <c r="F10" s="42"/>
      <c r="G10" s="12">
        <f>SUM('0209'!N44)</f>
        <v>1446.4031000671991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273405</v>
      </c>
      <c r="D30" s="175"/>
      <c r="E30" s="176">
        <f>$G$10</f>
        <v>1446.4031000671991</v>
      </c>
      <c r="F30" s="176"/>
      <c r="G30" s="175">
        <f>C30*E30</f>
        <v>395453839.57387257</v>
      </c>
      <c r="H30" s="201"/>
      <c r="I30" s="16"/>
      <c r="J30" s="47" t="s">
        <v>11</v>
      </c>
      <c r="K30" s="208">
        <f>32294</f>
        <v>32294</v>
      </c>
      <c r="L30" s="209"/>
      <c r="M30" s="210">
        <v>1507.08</v>
      </c>
      <c r="N30" s="211"/>
      <c r="O30" s="175">
        <f>K30*M30</f>
        <v>48669641.519999996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305699</v>
      </c>
      <c r="D37" s="175"/>
      <c r="E37" s="175">
        <f>$G$30+$O$30-K37</f>
        <v>444123481.09387255</v>
      </c>
      <c r="F37" s="175"/>
      <c r="G37" s="176">
        <f>E37/C37</f>
        <v>1452.812999368243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84559-4000-32000</f>
        <v>48559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273405</v>
      </c>
      <c r="D44" s="168"/>
      <c r="E44" s="63"/>
      <c r="F44" s="169">
        <f>$K$30</f>
        <v>32294</v>
      </c>
      <c r="G44" s="170"/>
      <c r="H44" s="170">
        <f>$L$23</f>
        <v>0</v>
      </c>
      <c r="I44" s="170"/>
      <c r="J44" s="170"/>
      <c r="K44" s="171">
        <f>$C$44-$H$44+$F$44+$O$44</f>
        <v>305699</v>
      </c>
      <c r="L44" s="171"/>
      <c r="M44" s="64">
        <f>SUM($K$44)/D10</f>
        <v>0.38212374999999998</v>
      </c>
      <c r="N44" s="65">
        <f>$G$37</f>
        <v>1452.812999368243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23"/>
      <c r="R45" s="22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Y124"/>
  <sheetViews>
    <sheetView showGridLines="0" topLeftCell="A7" zoomScaleNormal="100" workbookViewId="0">
      <selection activeCell="K18" sqref="K18:L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SUM('0210 (입고)'!K44:L44)</f>
        <v>305699</v>
      </c>
      <c r="F10" s="42"/>
      <c r="G10" s="12">
        <f>SUM('0210 (입고)'!N44)</f>
        <v>1452.812999368243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1452.812999368243</v>
      </c>
      <c r="O16" s="92">
        <f>IF(L16="","",(SUM(M16)-N16))</f>
        <v>-1452.812999368243</v>
      </c>
      <c r="P16" s="93">
        <f>IF(L16="","",(L16*O16))</f>
        <v>-11622503.994945943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20000</v>
      </c>
      <c r="M17" s="15"/>
      <c r="N17" s="94">
        <f t="shared" ref="N17:N22" si="3">IF(L17="","",($G$10))</f>
        <v>1452.812999368243</v>
      </c>
      <c r="O17" s="95">
        <f t="shared" ref="O17:O22" si="4">IF(L17="","",(SUM(M17)-N17))</f>
        <v>-1452.812999368243</v>
      </c>
      <c r="P17" s="96">
        <f t="shared" ref="P17:P22" si="5">IF(L17="","",(L17*O17))</f>
        <v>-29056259.987364862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73</v>
      </c>
      <c r="L18" s="35">
        <v>12000</v>
      </c>
      <c r="M18" s="15"/>
      <c r="N18" s="94">
        <f t="shared" si="3"/>
        <v>1452.812999368243</v>
      </c>
      <c r="O18" s="95">
        <f t="shared" si="4"/>
        <v>-1452.812999368243</v>
      </c>
      <c r="P18" s="96">
        <f t="shared" si="5"/>
        <v>-17433755.992418915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40000</v>
      </c>
      <c r="M23" s="89"/>
      <c r="N23" s="89"/>
      <c r="O23" s="89"/>
      <c r="P23" s="90">
        <f>SUM(P16:P22)</f>
        <v>-58112519.974729717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265699</v>
      </c>
      <c r="D30" s="175"/>
      <c r="E30" s="176">
        <f>$G$10</f>
        <v>1452.812999368243</v>
      </c>
      <c r="F30" s="176"/>
      <c r="G30" s="175">
        <f>C30*E30</f>
        <v>386010961.11914283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265699</v>
      </c>
      <c r="D37" s="175"/>
      <c r="E37" s="175">
        <f>$G$30+$O$30-K37</f>
        <v>386010961.11914283</v>
      </c>
      <c r="F37" s="175"/>
      <c r="G37" s="176">
        <f>E37/C37</f>
        <v>1452.812999368243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84559-4000-32000-32000</f>
        <v>16559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305699</v>
      </c>
      <c r="D44" s="168"/>
      <c r="E44" s="63"/>
      <c r="F44" s="169">
        <f>$K$30</f>
        <v>0</v>
      </c>
      <c r="G44" s="170"/>
      <c r="H44" s="170">
        <f>$L$23</f>
        <v>40000</v>
      </c>
      <c r="I44" s="170"/>
      <c r="J44" s="170"/>
      <c r="K44" s="171">
        <f>$C$44-$H$44+$F$44+$O$44</f>
        <v>265699</v>
      </c>
      <c r="L44" s="171"/>
      <c r="M44" s="64">
        <f>SUM($K$44)/D10</f>
        <v>0.33212375</v>
      </c>
      <c r="N44" s="65">
        <f>$G$37</f>
        <v>1452.812999368243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46063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  <pageSetUpPr fitToPage="1"/>
  </sheetPr>
  <dimension ref="B1:Y124"/>
  <sheetViews>
    <sheetView showGridLines="0" topLeftCell="A22" zoomScaleNormal="100" workbookViewId="0">
      <selection activeCell="O20" sqref="O2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SUM('0211'!K44:L44)</f>
        <v>265699</v>
      </c>
      <c r="F10" s="42"/>
      <c r="G10" s="12">
        <f>SUM('0211'!N44)</f>
        <v>1452.812999368243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265699</v>
      </c>
      <c r="D30" s="175"/>
      <c r="E30" s="176">
        <f>$G$10</f>
        <v>1452.812999368243</v>
      </c>
      <c r="F30" s="176"/>
      <c r="G30" s="175">
        <f>C30*E30</f>
        <v>386010961.11914283</v>
      </c>
      <c r="H30" s="201"/>
      <c r="I30" s="16"/>
      <c r="J30" s="47" t="s">
        <v>11</v>
      </c>
      <c r="K30" s="208">
        <v>60532</v>
      </c>
      <c r="L30" s="209"/>
      <c r="M30" s="210">
        <v>1507.08</v>
      </c>
      <c r="N30" s="211"/>
      <c r="O30" s="175">
        <f>K30*M30</f>
        <v>91226566.560000002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326231</v>
      </c>
      <c r="D37" s="175"/>
      <c r="E37" s="175">
        <f>$G$30+$O$30-K37</f>
        <v>477237527.67914283</v>
      </c>
      <c r="F37" s="175"/>
      <c r="G37" s="176">
        <f>E37/C37</f>
        <v>1462.8822143792063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84559-4000-32000-32000</f>
        <v>16559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265699</v>
      </c>
      <c r="D44" s="168"/>
      <c r="E44" s="63"/>
      <c r="F44" s="169">
        <f>$K$30</f>
        <v>60532</v>
      </c>
      <c r="G44" s="170"/>
      <c r="H44" s="170">
        <f>$L$23</f>
        <v>0</v>
      </c>
      <c r="I44" s="170"/>
      <c r="J44" s="170"/>
      <c r="K44" s="171">
        <f>$C$44-$H$44+$F$44+$O$44</f>
        <v>326231</v>
      </c>
      <c r="L44" s="171"/>
      <c r="M44" s="64">
        <f>SUM($K$44)/D10</f>
        <v>0.40778874999999998</v>
      </c>
      <c r="N44" s="65">
        <f>$G$37</f>
        <v>1462.8822143792063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46063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Y124"/>
  <sheetViews>
    <sheetView showGridLines="0" topLeftCell="A27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SUM('0211 (입고)'!K44:L44)</f>
        <v>326231</v>
      </c>
      <c r="F10" s="42"/>
      <c r="G10" s="12">
        <f>SUM('0211 (입고)'!N44)</f>
        <v>1462.8822143792063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326231</v>
      </c>
      <c r="D30" s="175"/>
      <c r="E30" s="176">
        <f>$G$10</f>
        <v>1462.8822143792063</v>
      </c>
      <c r="F30" s="176"/>
      <c r="G30" s="175">
        <f>C30*E30</f>
        <v>477237527.67914283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326231</v>
      </c>
      <c r="D37" s="175"/>
      <c r="E37" s="175">
        <f>$G$30+$O$30-K37</f>
        <v>477237527.67914283</v>
      </c>
      <c r="F37" s="175"/>
      <c r="G37" s="176">
        <f>E37/C37</f>
        <v>1462.8822143792063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84559-4000-32000-32000</f>
        <v>16559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326231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326231</v>
      </c>
      <c r="L44" s="171"/>
      <c r="M44" s="64">
        <f>SUM($K$44)/D10</f>
        <v>0.40778874999999998</v>
      </c>
      <c r="N44" s="65">
        <f>$G$37</f>
        <v>1462.8822143792063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  <pageSetUpPr fitToPage="1"/>
  </sheetPr>
  <dimension ref="B1:Y124"/>
  <sheetViews>
    <sheetView showGridLines="0" topLeftCell="G36" zoomScale="70" zoomScaleNormal="7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SUM('0212'!K44:L44)</f>
        <v>326231</v>
      </c>
      <c r="F10" s="42"/>
      <c r="G10" s="12">
        <f>SUM('0212'!N44)</f>
        <v>1462.8822143792063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326231</v>
      </c>
      <c r="D30" s="175"/>
      <c r="E30" s="176">
        <f>$G$10</f>
        <v>1462.8822143792063</v>
      </c>
      <c r="F30" s="176"/>
      <c r="G30" s="175">
        <f>C30*E30</f>
        <v>477237527.67914283</v>
      </c>
      <c r="H30" s="201"/>
      <c r="I30" s="16"/>
      <c r="J30" s="47" t="s">
        <v>11</v>
      </c>
      <c r="K30" s="208">
        <v>64358</v>
      </c>
      <c r="L30" s="209"/>
      <c r="M30" s="210">
        <v>1496.1</v>
      </c>
      <c r="N30" s="211"/>
      <c r="O30" s="175">
        <f>K30*M30</f>
        <v>96286003.799999997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390589</v>
      </c>
      <c r="D37" s="175"/>
      <c r="E37" s="175">
        <f>$G$30+$O$30-K37</f>
        <v>573523531.47914279</v>
      </c>
      <c r="F37" s="175"/>
      <c r="G37" s="176">
        <f>E37/C37</f>
        <v>1468.3555642354054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84559-4000-32000-32000</f>
        <v>16559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326231</v>
      </c>
      <c r="D44" s="168"/>
      <c r="E44" s="63"/>
      <c r="F44" s="169">
        <f>$K$30</f>
        <v>64358</v>
      </c>
      <c r="G44" s="170"/>
      <c r="H44" s="170">
        <f>$L$23</f>
        <v>0</v>
      </c>
      <c r="I44" s="170"/>
      <c r="J44" s="170"/>
      <c r="K44" s="171">
        <f>$C$44-$H$44+$F$44+$O$44</f>
        <v>390589</v>
      </c>
      <c r="L44" s="171"/>
      <c r="M44" s="64">
        <f>SUM($K$44)/D10</f>
        <v>0.48823624999999998</v>
      </c>
      <c r="N44" s="65">
        <f>$G$37</f>
        <v>1468.3555642354054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Y124"/>
  <sheetViews>
    <sheetView showGridLines="0" topLeftCell="A29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SUM('0214 (입고)'!K44:L44)</f>
        <v>390589</v>
      </c>
      <c r="F10" s="42"/>
      <c r="G10" s="12">
        <f>SUM('0214 (입고)'!N44)</f>
        <v>1468.3555642354054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45</v>
      </c>
      <c r="L16" s="35">
        <f>28000-16000</f>
        <v>12000</v>
      </c>
      <c r="M16" s="102"/>
      <c r="N16" s="91">
        <f>IF(L16="","",($G$10))</f>
        <v>1468.3555642354054</v>
      </c>
      <c r="O16" s="92">
        <f>IF(L16="","",(SUM(M16)-N16))</f>
        <v>-1468.3555642354054</v>
      </c>
      <c r="P16" s="93">
        <f>IF(L16="","",(L16*O16))</f>
        <v>-17620266.770824865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12000</v>
      </c>
      <c r="M23" s="89"/>
      <c r="N23" s="89"/>
      <c r="O23" s="89"/>
      <c r="P23" s="90">
        <f>SUM(P16:P22)</f>
        <v>-17620266.770824865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378589</v>
      </c>
      <c r="D30" s="175"/>
      <c r="E30" s="176">
        <f>$G$10</f>
        <v>1468.3555642354054</v>
      </c>
      <c r="F30" s="176"/>
      <c r="G30" s="175">
        <f>C30*E30</f>
        <v>555903264.70831788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378589</v>
      </c>
      <c r="D37" s="175"/>
      <c r="E37" s="175">
        <f>$G$30+$O$30-K37</f>
        <v>555903264.70831788</v>
      </c>
      <c r="F37" s="175"/>
      <c r="G37" s="176">
        <f>E37/C37</f>
        <v>1468.3555642354054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v>32195</v>
      </c>
      <c r="T38" s="120">
        <v>64476</v>
      </c>
      <c r="U38" s="120">
        <f>84559-4000-32000-32000-16000</f>
        <v>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390589</v>
      </c>
      <c r="D44" s="168"/>
      <c r="E44" s="63"/>
      <c r="F44" s="169">
        <f>$K$30</f>
        <v>0</v>
      </c>
      <c r="G44" s="170"/>
      <c r="H44" s="170">
        <f>$L$23</f>
        <v>12000</v>
      </c>
      <c r="I44" s="170"/>
      <c r="J44" s="170"/>
      <c r="K44" s="171">
        <f>$C$44-$H$44+$F$44+$O$44</f>
        <v>378589</v>
      </c>
      <c r="L44" s="171"/>
      <c r="M44" s="64">
        <f>SUM($K$44)/D10</f>
        <v>0.47323625000000002</v>
      </c>
      <c r="N44" s="65">
        <f>$G$37</f>
        <v>1468.3555642354054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17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1:Y124"/>
  <sheetViews>
    <sheetView showGridLines="0" topLeftCell="A32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SUM('0219'!K44:L44)</f>
        <v>378589</v>
      </c>
      <c r="F10" s="42"/>
      <c r="G10" s="12">
        <f>SUM('0219'!N44)</f>
        <v>1468.3555642354054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71</v>
      </c>
      <c r="L16" s="35">
        <v>28000</v>
      </c>
      <c r="M16" s="102"/>
      <c r="N16" s="91">
        <f>IF(L16="","",($G$10))</f>
        <v>1468.3555642354054</v>
      </c>
      <c r="O16" s="92">
        <f>IF(L16="","",(SUM(M16)-N16))</f>
        <v>-1468.3555642354054</v>
      </c>
      <c r="P16" s="93">
        <f>IF(L16="","",(L16*O16))</f>
        <v>-41113955.798591353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-41113955.798591353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350589</v>
      </c>
      <c r="D30" s="175"/>
      <c r="E30" s="176">
        <f>$G$10</f>
        <v>1468.3555642354054</v>
      </c>
      <c r="F30" s="176"/>
      <c r="G30" s="175">
        <f>C30*E30</f>
        <v>514789308.90972656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350589</v>
      </c>
      <c r="D37" s="175"/>
      <c r="E37" s="175">
        <f>$G$30+$O$30-K37</f>
        <v>514789308.90972656</v>
      </c>
      <c r="F37" s="175"/>
      <c r="G37" s="176">
        <f>E37/C37</f>
        <v>1468.3555642354054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v>64476</v>
      </c>
      <c r="U38" s="120">
        <f>84559-4000-32000-32000-16000</f>
        <v>559</v>
      </c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378589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350589</v>
      </c>
      <c r="L44" s="171"/>
      <c r="M44" s="64">
        <f>SUM($K$44)/D10</f>
        <v>0.43823624999999999</v>
      </c>
      <c r="N44" s="65">
        <f>$G$37</f>
        <v>1468.3555642354054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S48" s="122"/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  <pageSetUpPr fitToPage="1"/>
  </sheetPr>
  <dimension ref="B1:Y124"/>
  <sheetViews>
    <sheetView showGridLines="0" topLeftCell="A37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SUM('0223'!K44:L44)</f>
        <v>350589</v>
      </c>
      <c r="F10" s="42"/>
      <c r="G10" s="12">
        <f>SUM('0223'!N44)</f>
        <v>1468.3555642354054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350589</v>
      </c>
      <c r="D30" s="175"/>
      <c r="E30" s="176">
        <f>$G$10</f>
        <v>1468.3555642354054</v>
      </c>
      <c r="F30" s="176"/>
      <c r="G30" s="175">
        <f>C30*E30</f>
        <v>514789308.90972656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350589</v>
      </c>
      <c r="D37" s="175"/>
      <c r="E37" s="175">
        <f>$G$30+$O$30-K37</f>
        <v>514789308.90972656</v>
      </c>
      <c r="F37" s="175"/>
      <c r="G37" s="176">
        <f>E37/C37</f>
        <v>1468.3555642354054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</f>
        <v>32476</v>
      </c>
      <c r="U38" s="120">
        <f>84559-4000-32000-32000-16000</f>
        <v>559</v>
      </c>
      <c r="V38" s="120">
        <f>(28000*3)+559</f>
        <v>84559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>
        <v>1507.08</v>
      </c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350589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350589</v>
      </c>
      <c r="L44" s="171"/>
      <c r="M44" s="64">
        <f>SUM($K$44)/D10</f>
        <v>0.43823624999999999</v>
      </c>
      <c r="N44" s="65">
        <f>$G$37</f>
        <v>1468.3555642354054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Y124"/>
  <sheetViews>
    <sheetView showGridLines="0" topLeftCell="A43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SUM('0224'!K44:L44)</f>
        <v>350589</v>
      </c>
      <c r="F10" s="42"/>
      <c r="G10" s="12">
        <f>SUM('0224'!N44)</f>
        <v>1468.3555642354054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70</v>
      </c>
      <c r="L16" s="35">
        <v>32000</v>
      </c>
      <c r="M16" s="102"/>
      <c r="N16" s="91">
        <f>IF(L16="","",($G$10))</f>
        <v>1468.3555642354054</v>
      </c>
      <c r="O16" s="92">
        <f>IF(L16="","",(SUM(M16)-N16))</f>
        <v>-1468.3555642354054</v>
      </c>
      <c r="P16" s="93">
        <f>IF(L16="","",(L16*O16))</f>
        <v>-46987378.05553297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74</v>
      </c>
      <c r="L17" s="35">
        <v>28000</v>
      </c>
      <c r="M17" s="15"/>
      <c r="N17" s="94">
        <f t="shared" ref="N17:N22" si="3">IF(L17="","",($G$10))</f>
        <v>1468.3555642354054</v>
      </c>
      <c r="O17" s="95">
        <f t="shared" ref="O17:O22" si="4">IF(L17="","",(SUM(M17)-N17))</f>
        <v>-1468.3555642354054</v>
      </c>
      <c r="P17" s="96">
        <f t="shared" ref="P17:P22" si="5">IF(L17="","",(L17*O17))</f>
        <v>-41113955.798591353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-88101333.854124323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290589</v>
      </c>
      <c r="D30" s="175"/>
      <c r="E30" s="176">
        <f>$G$10</f>
        <v>1468.3555642354054</v>
      </c>
      <c r="F30" s="176"/>
      <c r="G30" s="175">
        <f>C30*E30</f>
        <v>426687975.05560219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290589</v>
      </c>
      <c r="D37" s="175"/>
      <c r="E37" s="175">
        <f>$G$30+$O$30-K37</f>
        <v>426687975.05560219</v>
      </c>
      <c r="F37" s="175"/>
      <c r="G37" s="176">
        <f>E37/C37</f>
        <v>1468.3555642354054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</f>
        <v>32476</v>
      </c>
      <c r="U38" s="120">
        <f>84559-4000-32000-32000-16000</f>
        <v>559</v>
      </c>
      <c r="V38" s="120">
        <f>(28000*3)+559</f>
        <v>84559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350589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290589</v>
      </c>
      <c r="L44" s="171"/>
      <c r="M44" s="64">
        <f>SUM($K$44)/D10</f>
        <v>0.36323624999999998</v>
      </c>
      <c r="N44" s="65">
        <f>$G$37</f>
        <v>1468.3555642354054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16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</row>
    <row r="50" spans="2:16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1:Y124"/>
  <sheetViews>
    <sheetView showGridLines="0" topLeftCell="A27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SUM('0225'!K44:L44)</f>
        <v>290589</v>
      </c>
      <c r="F10" s="42"/>
      <c r="G10" s="12">
        <f>SUM('0225'!N44)</f>
        <v>1468.3555642354054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1468.3555642354054</v>
      </c>
      <c r="O16" s="92">
        <f>IF(L16="","",(SUM(M16)-N16))</f>
        <v>-1468.3555642354054</v>
      </c>
      <c r="P16" s="93">
        <f>IF(L16="","",(L16*O16))</f>
        <v>-11746844.513883242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-11746844.513883242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282589</v>
      </c>
      <c r="D30" s="175"/>
      <c r="E30" s="176">
        <f>$G$10</f>
        <v>1468.3555642354054</v>
      </c>
      <c r="F30" s="176"/>
      <c r="G30" s="175">
        <f>C30*E30</f>
        <v>414941130.54171896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282589</v>
      </c>
      <c r="D37" s="175"/>
      <c r="E37" s="175">
        <f>$G$30+$O$30-K37</f>
        <v>414941130.54171896</v>
      </c>
      <c r="F37" s="175"/>
      <c r="G37" s="176">
        <f>E37/C37</f>
        <v>1468.3555642354054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f>84559-4000-32000-32000-16000</f>
        <v>559</v>
      </c>
      <c r="V38" s="120">
        <f>(28000*3)+559</f>
        <v>84559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290589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282589</v>
      </c>
      <c r="L44" s="171"/>
      <c r="M44" s="64">
        <f>SUM($K$44)/D10</f>
        <v>0.35323624999999997</v>
      </c>
      <c r="N44" s="65">
        <f>$G$37</f>
        <v>1468.3555642354054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  <pageSetUpPr fitToPage="1"/>
  </sheetPr>
  <dimension ref="B1:Y124"/>
  <sheetViews>
    <sheetView showGridLines="0" topLeftCell="A25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SUM('0226'!K44:L44)</f>
        <v>282589</v>
      </c>
      <c r="F10" s="42"/>
      <c r="G10" s="12">
        <f>SUM('0226'!N44)</f>
        <v>1468.3555642354054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282589</v>
      </c>
      <c r="D30" s="175"/>
      <c r="E30" s="176">
        <f>$G$10</f>
        <v>1468.3555642354054</v>
      </c>
      <c r="F30" s="176"/>
      <c r="G30" s="175">
        <f>C30*E30</f>
        <v>414941130.54171896</v>
      </c>
      <c r="H30" s="201"/>
      <c r="I30" s="16"/>
      <c r="J30" s="47" t="s">
        <v>11</v>
      </c>
      <c r="K30" s="208">
        <v>72352</v>
      </c>
      <c r="L30" s="209"/>
      <c r="M30" s="210">
        <v>1533.9230871295899</v>
      </c>
      <c r="N30" s="211"/>
      <c r="O30" s="175">
        <f>K30*M30</f>
        <v>110982403.20000009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38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354941</v>
      </c>
      <c r="D37" s="175"/>
      <c r="E37" s="175">
        <f>$G$30+$O$30-K37</f>
        <v>525923533.74171907</v>
      </c>
      <c r="F37" s="175"/>
      <c r="G37" s="176">
        <f>E37/C37</f>
        <v>1481.7210007908893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f>84559-4000-32000-32000-16000</f>
        <v>559</v>
      </c>
      <c r="V38" s="120">
        <f>(28000*3)+559</f>
        <v>84559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282589</v>
      </c>
      <c r="D44" s="168"/>
      <c r="E44" s="63"/>
      <c r="F44" s="169">
        <f>$K$30</f>
        <v>72352</v>
      </c>
      <c r="G44" s="170"/>
      <c r="H44" s="170">
        <f>$L$23</f>
        <v>0</v>
      </c>
      <c r="I44" s="170"/>
      <c r="J44" s="170"/>
      <c r="K44" s="171">
        <f>$C$44-$H$44+$F$44+$O$44</f>
        <v>354941</v>
      </c>
      <c r="L44" s="171"/>
      <c r="M44" s="64">
        <f>SUM($K$44)/D10</f>
        <v>0.44367624999999999</v>
      </c>
      <c r="N44" s="65">
        <f>$G$37</f>
        <v>1481.7210007908893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  <pageSetUpPr fitToPage="1"/>
  </sheetPr>
  <dimension ref="B1:Y124"/>
  <sheetViews>
    <sheetView showGridLines="0" topLeftCell="A30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SUM('0227 (입고)'!K44:L44)</f>
        <v>354941</v>
      </c>
      <c r="F10" s="42"/>
      <c r="G10" s="12">
        <f>SUM('0227 (입고)'!N44)</f>
        <v>1481.7210007908893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354941</v>
      </c>
      <c r="D30" s="175"/>
      <c r="E30" s="176">
        <f>$G$10</f>
        <v>1481.7210007908893</v>
      </c>
      <c r="F30" s="176"/>
      <c r="G30" s="175">
        <f>C30*E30</f>
        <v>525923533.74171907</v>
      </c>
      <c r="H30" s="201"/>
      <c r="I30" s="16"/>
      <c r="J30" s="47" t="s">
        <v>11</v>
      </c>
      <c r="K30" s="208">
        <v>12068</v>
      </c>
      <c r="L30" s="209"/>
      <c r="M30" s="210">
        <v>1507.08</v>
      </c>
      <c r="N30" s="211"/>
      <c r="O30" s="175">
        <f>K30*M30</f>
        <v>18187441.439999998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367009</v>
      </c>
      <c r="D37" s="175"/>
      <c r="E37" s="175">
        <f>$G$30+$O$30-K37</f>
        <v>544110975.18171906</v>
      </c>
      <c r="F37" s="175"/>
      <c r="G37" s="176">
        <f>E37/C37</f>
        <v>1482.5548560981313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f>84559-4000-32000-32000-16000</f>
        <v>559</v>
      </c>
      <c r="V38" s="120">
        <f>(28000*3)+559</f>
        <v>84559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354941</v>
      </c>
      <c r="D44" s="168"/>
      <c r="E44" s="63"/>
      <c r="F44" s="169">
        <f>$K$30</f>
        <v>12068</v>
      </c>
      <c r="G44" s="170"/>
      <c r="H44" s="170">
        <f>$L$23</f>
        <v>0</v>
      </c>
      <c r="I44" s="170"/>
      <c r="J44" s="170"/>
      <c r="K44" s="171">
        <f>$C$44-$H$44+$F$44+$O$44</f>
        <v>367009</v>
      </c>
      <c r="L44" s="171"/>
      <c r="M44" s="64">
        <f>SUM($K$44)/D10</f>
        <v>0.45876125000000001</v>
      </c>
      <c r="N44" s="65">
        <f>$G$37</f>
        <v>1482.5548560981313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  <pageSetUpPr fitToPage="1"/>
  </sheetPr>
  <dimension ref="B1:Y124"/>
  <sheetViews>
    <sheetView showGridLines="0" topLeftCell="A24" zoomScale="130" zoomScaleNormal="130" workbookViewId="0">
      <selection activeCell="K37" sqref="K37:L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SUM('0228 (입고)'!K44:L44)</f>
        <v>367009</v>
      </c>
      <c r="F10" s="42"/>
      <c r="G10" s="12">
        <f>SUM('0228 (입고)'!N44)</f>
        <v>1482.5548560981313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367009</v>
      </c>
      <c r="D30" s="175"/>
      <c r="E30" s="176">
        <f>$G$10</f>
        <v>1482.5548560981313</v>
      </c>
      <c r="F30" s="176"/>
      <c r="G30" s="175">
        <f>C30*E30</f>
        <v>544110975.18171906</v>
      </c>
      <c r="H30" s="201"/>
      <c r="I30" s="16"/>
      <c r="J30" s="47" t="s">
        <v>11</v>
      </c>
      <c r="K30" s="208">
        <v>124651</v>
      </c>
      <c r="L30" s="209"/>
      <c r="M30" s="210">
        <v>1753.4673926202599</v>
      </c>
      <c r="N30" s="211"/>
      <c r="O30" s="175">
        <f>K30*M30</f>
        <v>218571463.95750803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491660</v>
      </c>
      <c r="D37" s="175"/>
      <c r="E37" s="175">
        <f>$G$30+$O$30-K37</f>
        <v>762682439.13922715</v>
      </c>
      <c r="F37" s="175"/>
      <c r="G37" s="176">
        <f>E37/C37</f>
        <v>1551.2395540398388</v>
      </c>
      <c r="H37" s="177"/>
      <c r="I37" s="16"/>
      <c r="J37" s="17"/>
      <c r="K37" s="140"/>
      <c r="L37" s="139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v>559</v>
      </c>
      <c r="V38" s="120">
        <f>(28000*3)-56000+559</f>
        <v>28559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367009</v>
      </c>
      <c r="D44" s="168"/>
      <c r="E44" s="63"/>
      <c r="F44" s="169">
        <f>$K$30</f>
        <v>124651</v>
      </c>
      <c r="G44" s="170"/>
      <c r="H44" s="170">
        <f>$L$23</f>
        <v>0</v>
      </c>
      <c r="I44" s="170"/>
      <c r="J44" s="170"/>
      <c r="K44" s="171">
        <f>$C$44-$H$44+$F$44+$O$44</f>
        <v>491660</v>
      </c>
      <c r="L44" s="171"/>
      <c r="M44" s="64">
        <f>SUM($K$44)/D10</f>
        <v>0.61457499999999998</v>
      </c>
      <c r="N44" s="65">
        <f>$G$37</f>
        <v>1551.2395540398388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  <c r="Q50" s="137" t="s">
        <v>75</v>
      </c>
      <c r="R50" s="132" t="s">
        <v>45</v>
      </c>
      <c r="S50" s="122">
        <v>56000</v>
      </c>
      <c r="T50" s="131" t="s">
        <v>52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1:Y124"/>
  <sheetViews>
    <sheetView showGridLines="0" topLeftCell="A27" zoomScale="85" zoomScaleNormal="85" workbookViewId="0">
      <selection activeCell="O47" sqref="O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SUM('0304 (입고)'!K44:L44)</f>
        <v>491660</v>
      </c>
      <c r="F10" s="42"/>
      <c r="G10" s="12">
        <f>SUM('0304 (입고)'!N44)</f>
        <v>1551.2395540398388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76</v>
      </c>
      <c r="L16" s="35">
        <v>32000</v>
      </c>
      <c r="M16" s="102"/>
      <c r="N16" s="91">
        <f>IF(L16="","",($G$10))</f>
        <v>1551.2395540398388</v>
      </c>
      <c r="O16" s="92">
        <f>IF(L16="","",(SUM(M16)-N16))</f>
        <v>-1551.2395540398388</v>
      </c>
      <c r="P16" s="93">
        <f>IF(L16="","",(L16*O16))</f>
        <v>-49639665.729274839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-49639665.729274839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459660</v>
      </c>
      <c r="D30" s="175"/>
      <c r="E30" s="176">
        <f>$G$10</f>
        <v>1551.2395540398388</v>
      </c>
      <c r="F30" s="176"/>
      <c r="G30" s="175">
        <f>C30*E30</f>
        <v>713042773.40995228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459660</v>
      </c>
      <c r="D37" s="175"/>
      <c r="E37" s="175">
        <f>$G$30+$O$30-K37</f>
        <v>703546898.40995228</v>
      </c>
      <c r="F37" s="175"/>
      <c r="G37" s="176">
        <f>E37/C37</f>
        <v>1530.5810782098774</v>
      </c>
      <c r="H37" s="177"/>
      <c r="I37" s="16"/>
      <c r="J37" s="17"/>
      <c r="K37" s="140">
        <v>9495875</v>
      </c>
      <c r="L37" s="139" t="s">
        <v>77</v>
      </c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v>559</v>
      </c>
      <c r="V38" s="120">
        <f>(28000*3)-56000+559</f>
        <v>28559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491660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460532</v>
      </c>
      <c r="L44" s="171"/>
      <c r="M44" s="64">
        <f>SUM($K$44)/D10</f>
        <v>0.57566499999999998</v>
      </c>
      <c r="N44" s="65">
        <f>$G$37</f>
        <v>1530.5810782098774</v>
      </c>
      <c r="O44" s="101">
        <f>872</f>
        <v>872</v>
      </c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  <c r="Q50" s="137" t="s">
        <v>75</v>
      </c>
      <c r="R50" s="132" t="s">
        <v>45</v>
      </c>
      <c r="S50" s="122">
        <v>56000</v>
      </c>
      <c r="T50" s="131" t="s">
        <v>52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Y124"/>
  <sheetViews>
    <sheetView showGridLines="0" topLeftCell="A31" zoomScale="70" zoomScaleNormal="7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SUM('0304'!K44:L44)</f>
        <v>460532</v>
      </c>
      <c r="F10" s="42"/>
      <c r="G10" s="12">
        <f>SUM('0304'!N44)</f>
        <v>1530.5810782098774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78</v>
      </c>
      <c r="L16" s="35">
        <v>32000</v>
      </c>
      <c r="M16" s="102"/>
      <c r="N16" s="91">
        <f>IF(L16="","",($G$10))</f>
        <v>1530.5810782098774</v>
      </c>
      <c r="O16" s="92">
        <f>IF(L16="","",(SUM(M16)-N16))</f>
        <v>-1530.5810782098774</v>
      </c>
      <c r="P16" s="93">
        <f>IF(L16="","",(L16*O16))</f>
        <v>-48978594.502716079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-48978594.502716079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428532</v>
      </c>
      <c r="D30" s="175"/>
      <c r="E30" s="176">
        <f>$G$10</f>
        <v>1530.5810782098774</v>
      </c>
      <c r="F30" s="176"/>
      <c r="G30" s="175">
        <f>C30*E30</f>
        <v>655902970.60743523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428532</v>
      </c>
      <c r="D37" s="175"/>
      <c r="E37" s="175">
        <f>$G$30+$O$30-K37</f>
        <v>655902970.60743523</v>
      </c>
      <c r="F37" s="175"/>
      <c r="G37" s="176">
        <f>E37/C37</f>
        <v>1530.5810782098774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v>559</v>
      </c>
      <c r="V38" s="120">
        <f>(28000*3)-56000+559</f>
        <v>28559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460532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428532</v>
      </c>
      <c r="L44" s="171"/>
      <c r="M44" s="64">
        <f>SUM($K$44)/D10</f>
        <v>0.53566499999999995</v>
      </c>
      <c r="N44" s="65">
        <f>$G$37</f>
        <v>1530.5810782098774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  <c r="Q50" s="137" t="s">
        <v>75</v>
      </c>
      <c r="R50" s="132" t="s">
        <v>45</v>
      </c>
      <c r="S50" s="122">
        <v>56000</v>
      </c>
      <c r="T50" s="131" t="s">
        <v>52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1:Y124"/>
  <sheetViews>
    <sheetView showGridLines="0" topLeftCell="A12" zoomScale="70" zoomScaleNormal="70" workbookViewId="0">
      <selection activeCell="U51" sqref="U5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SUM('0305'!K44:L44)</f>
        <v>428532</v>
      </c>
      <c r="F10" s="42"/>
      <c r="G10" s="12">
        <f>SUM('0305'!N44)</f>
        <v>1530.5810782098774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79</v>
      </c>
      <c r="L16" s="35">
        <v>32000</v>
      </c>
      <c r="M16" s="102"/>
      <c r="N16" s="91">
        <f>IF(L16="","",($G$10))</f>
        <v>1530.5810782098774</v>
      </c>
      <c r="O16" s="92">
        <f>IF(L16="","",(SUM(M16)-N16))</f>
        <v>-1530.5810782098774</v>
      </c>
      <c r="P16" s="93">
        <f>IF(L16="","",(L16*O16))</f>
        <v>-48978594.502716079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59</v>
      </c>
      <c r="L17" s="35">
        <v>8000</v>
      </c>
      <c r="M17" s="15"/>
      <c r="N17" s="94">
        <f t="shared" ref="N17:N22" si="3">IF(L17="","",($G$10))</f>
        <v>1530.5810782098774</v>
      </c>
      <c r="O17" s="95">
        <f t="shared" ref="O17:O22" si="4">IF(L17="","",(SUM(M17)-N17))</f>
        <v>-1530.5810782098774</v>
      </c>
      <c r="P17" s="96">
        <f t="shared" ref="P17:P22" si="5">IF(L17="","",(L17*O17))</f>
        <v>-12244648.62567902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40000</v>
      </c>
      <c r="M23" s="89"/>
      <c r="N23" s="89"/>
      <c r="O23" s="89"/>
      <c r="P23" s="90">
        <f>SUM(P16:P22)</f>
        <v>-61223243.128395095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388532</v>
      </c>
      <c r="D30" s="175"/>
      <c r="E30" s="176">
        <f>$G$10</f>
        <v>1530.5810782098774</v>
      </c>
      <c r="F30" s="176"/>
      <c r="G30" s="175">
        <f>C30*E30</f>
        <v>594679727.47904015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388532</v>
      </c>
      <c r="D37" s="175"/>
      <c r="E37" s="175">
        <f>$G$30+$O$30-K37</f>
        <v>594679727.47904015</v>
      </c>
      <c r="F37" s="175"/>
      <c r="G37" s="176">
        <f>E37/C37</f>
        <v>1530.5810782098777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v>559</v>
      </c>
      <c r="V38" s="120">
        <f>(28000*3)-56000+559</f>
        <v>28559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428532</v>
      </c>
      <c r="D44" s="168"/>
      <c r="E44" s="63"/>
      <c r="F44" s="169">
        <f>$K$30</f>
        <v>0</v>
      </c>
      <c r="G44" s="170"/>
      <c r="H44" s="170">
        <f>$L$23</f>
        <v>40000</v>
      </c>
      <c r="I44" s="170"/>
      <c r="J44" s="170"/>
      <c r="K44" s="171">
        <f>$C$44-$H$44+$F$44+$O$44</f>
        <v>388532</v>
      </c>
      <c r="L44" s="171"/>
      <c r="M44" s="64">
        <f>SUM($K$44)/D10</f>
        <v>0.48566500000000001</v>
      </c>
      <c r="N44" s="65">
        <f>$G$37</f>
        <v>1530.5810782098777</v>
      </c>
      <c r="O44" s="101"/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  <c r="Q50" s="137" t="s">
        <v>75</v>
      </c>
      <c r="R50" s="132" t="s">
        <v>45</v>
      </c>
      <c r="S50" s="122">
        <v>56000</v>
      </c>
      <c r="T50" s="131" t="s">
        <v>52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1:Y124"/>
  <sheetViews>
    <sheetView showGridLines="0" topLeftCell="A24" zoomScale="70" zoomScaleNormal="70" workbookViewId="0">
      <selection activeCell="V49" sqref="V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SUM('0306'!K44:L44)</f>
        <v>388532</v>
      </c>
      <c r="F10" s="42"/>
      <c r="G10" s="12">
        <f>SUM('0306'!N44)</f>
        <v>1530.5810782098777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80</v>
      </c>
      <c r="L16" s="35">
        <v>20000</v>
      </c>
      <c r="M16" s="102"/>
      <c r="N16" s="91">
        <f>IF(L16="","",($G$10))</f>
        <v>1530.5810782098777</v>
      </c>
      <c r="O16" s="92">
        <f>IF(L16="","",(SUM(M16)-N16))</f>
        <v>-1530.5810782098777</v>
      </c>
      <c r="P16" s="93">
        <f>IF(L16="","",(L16*O16))</f>
        <v>-30611621.564197551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74</v>
      </c>
      <c r="L17" s="35">
        <v>12000</v>
      </c>
      <c r="M17" s="15"/>
      <c r="N17" s="94">
        <f t="shared" ref="N17:N22" si="3">IF(L17="","",($G$10))</f>
        <v>1530.5810782098777</v>
      </c>
      <c r="O17" s="95">
        <f t="shared" ref="O17:O22" si="4">IF(L17="","",(SUM(M17)-N17))</f>
        <v>-1530.5810782098777</v>
      </c>
      <c r="P17" s="96">
        <f t="shared" ref="P17:P22" si="5">IF(L17="","",(L17*O17))</f>
        <v>-18366972.938518532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-48978594.502716079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356532</v>
      </c>
      <c r="D30" s="175"/>
      <c r="E30" s="176">
        <f>$G$10</f>
        <v>1530.5810782098777</v>
      </c>
      <c r="F30" s="176"/>
      <c r="G30" s="175">
        <f>C30*E30</f>
        <v>545701132.97632408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46049</v>
      </c>
      <c r="S36" s="173"/>
      <c r="T36" s="172">
        <v>46050</v>
      </c>
      <c r="U36" s="173"/>
      <c r="V36" s="172">
        <v>46077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356532</v>
      </c>
      <c r="D37" s="175"/>
      <c r="E37" s="175">
        <f>$G$30+$O$30-K37</f>
        <v>545701132.97632408</v>
      </c>
      <c r="F37" s="175"/>
      <c r="G37" s="176">
        <f>E37/C37</f>
        <v>1530.5810782098777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 t="s">
        <v>69</v>
      </c>
      <c r="T37" s="121" t="s">
        <v>69</v>
      </c>
      <c r="U37" s="121" t="s">
        <v>45</v>
      </c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28185+28171-28000-28000</f>
        <v>356</v>
      </c>
      <c r="S38" s="120">
        <f>32195-32000</f>
        <v>195</v>
      </c>
      <c r="T38" s="120">
        <f>64476-32000-32000</f>
        <v>476</v>
      </c>
      <c r="U38" s="120">
        <v>559</v>
      </c>
      <c r="V38" s="120">
        <f>(28000*3)-56000+559-28000</f>
        <v>559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5" t="s">
        <v>46</v>
      </c>
      <c r="T39" s="125" t="s">
        <v>54</v>
      </c>
      <c r="U39" s="125" t="s">
        <v>50</v>
      </c>
      <c r="V39" s="121" t="s">
        <v>50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>
        <v>46056</v>
      </c>
      <c r="R42" s="132" t="s">
        <v>45</v>
      </c>
      <c r="S42" s="122">
        <v>28000</v>
      </c>
      <c r="T42" s="131" t="s">
        <v>58</v>
      </c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>
        <v>46062</v>
      </c>
      <c r="R43" s="132" t="s">
        <v>45</v>
      </c>
      <c r="S43" s="122">
        <v>32000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388532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358677</v>
      </c>
      <c r="L44" s="171"/>
      <c r="M44" s="64">
        <f>SUM($K$44)/D10</f>
        <v>0.44834625</v>
      </c>
      <c r="N44" s="65">
        <f>$G$37</f>
        <v>1530.5810782098777</v>
      </c>
      <c r="O44" s="101">
        <f>SUM(R38:V38)</f>
        <v>2145</v>
      </c>
      <c r="P44" s="22"/>
      <c r="Q44" s="137">
        <v>46063</v>
      </c>
      <c r="R44" s="132" t="s">
        <v>45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>
        <v>46065</v>
      </c>
      <c r="R45" s="132" t="s">
        <v>45</v>
      </c>
      <c r="S45" s="122">
        <v>32000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>
        <v>46072</v>
      </c>
      <c r="R46" s="132" t="s">
        <v>45</v>
      </c>
      <c r="S46" s="122">
        <v>16000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>
        <v>46076</v>
      </c>
      <c r="R47" s="132" t="s">
        <v>69</v>
      </c>
      <c r="S47" s="122">
        <v>32000</v>
      </c>
      <c r="T47" s="131" t="s">
        <v>58</v>
      </c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>
        <v>46077</v>
      </c>
      <c r="R48" s="132" t="s">
        <v>69</v>
      </c>
      <c r="S48" s="122">
        <v>32000</v>
      </c>
      <c r="T48" s="131" t="s">
        <v>58</v>
      </c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>
        <v>46078</v>
      </c>
      <c r="R49" s="132" t="s">
        <v>69</v>
      </c>
      <c r="S49" s="122">
        <v>32000</v>
      </c>
      <c r="T49" s="131" t="s">
        <v>58</v>
      </c>
    </row>
    <row r="50" spans="2:20" ht="26.25" customHeight="1">
      <c r="K50" s="253"/>
      <c r="L50" s="253"/>
      <c r="Q50" s="137" t="s">
        <v>75</v>
      </c>
      <c r="R50" s="132" t="s">
        <v>45</v>
      </c>
      <c r="S50" s="122">
        <v>56000</v>
      </c>
      <c r="T50" s="131" t="s">
        <v>52</v>
      </c>
    </row>
    <row r="51" spans="2:20" ht="20.25" customHeight="1">
      <c r="Q51" s="137">
        <v>46092</v>
      </c>
      <c r="R51" s="132" t="s">
        <v>45</v>
      </c>
      <c r="S51" s="122">
        <v>28000</v>
      </c>
      <c r="T51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1:Y124"/>
  <sheetViews>
    <sheetView showGridLines="0" topLeftCell="A33" zoomScale="70" zoomScaleNormal="70" workbookViewId="0">
      <selection activeCell="N44" sqref="N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SUM('0311'!K44:L44)</f>
        <v>358677</v>
      </c>
      <c r="F10" s="42"/>
      <c r="G10" s="12">
        <f>SUM('0311'!N44)</f>
        <v>1530.5810782098777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81</v>
      </c>
      <c r="L16" s="35">
        <v>20000</v>
      </c>
      <c r="M16" s="102"/>
      <c r="N16" s="91">
        <f>IF(L16="","",($G$10))</f>
        <v>1530.5810782098777</v>
      </c>
      <c r="O16" s="92">
        <f>IF(L16="","",(SUM(M16)-N16))</f>
        <v>-1530.5810782098777</v>
      </c>
      <c r="P16" s="93">
        <f>IF(L16="","",(L16*O16))</f>
        <v>-30611621.564197551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12000</v>
      </c>
      <c r="M17" s="15"/>
      <c r="N17" s="94">
        <f t="shared" ref="N17:N22" si="3">IF(L17="","",($G$10))</f>
        <v>1530.5810782098777</v>
      </c>
      <c r="O17" s="95">
        <f t="shared" ref="O17:O22" si="4">IF(L17="","",(SUM(M17)-N17))</f>
        <v>-1530.5810782098777</v>
      </c>
      <c r="P17" s="96">
        <f t="shared" ref="P17:P22" si="5">IF(L17="","",(L17*O17))</f>
        <v>-18366972.938518532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-48978594.502716079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326677</v>
      </c>
      <c r="D30" s="175"/>
      <c r="E30" s="176">
        <f>$G$10</f>
        <v>1530.5810782098777</v>
      </c>
      <c r="F30" s="176"/>
      <c r="G30" s="175">
        <f>C30*E30</f>
        <v>500005634.88636822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326677</v>
      </c>
      <c r="D37" s="175"/>
      <c r="E37" s="175">
        <f>$G$30+$O$30-K37</f>
        <v>500005634.88636822</v>
      </c>
      <c r="F37" s="175"/>
      <c r="G37" s="176">
        <f>E37/C37</f>
        <v>1530.5810782098777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358677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326677</v>
      </c>
      <c r="L44" s="171"/>
      <c r="M44" s="64">
        <f>SUM($K$44)/D10</f>
        <v>0.40834625000000002</v>
      </c>
      <c r="N44" s="65">
        <f>$G$37</f>
        <v>1530.5810782098777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00"/>
    <pageSetUpPr fitToPage="1"/>
  </sheetPr>
  <dimension ref="B1:Y124"/>
  <sheetViews>
    <sheetView showGridLines="0" topLeftCell="A28" zoomScale="115" zoomScaleNormal="115" workbookViewId="0">
      <selection activeCell="N34" sqref="N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SUM('0312'!K44:L44)</f>
        <v>326677</v>
      </c>
      <c r="F10" s="42"/>
      <c r="G10" s="12">
        <f>SUM('0312'!N44)</f>
        <v>1530.5810782098777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326677</v>
      </c>
      <c r="D30" s="175"/>
      <c r="E30" s="176">
        <f>$G$10</f>
        <v>1530.5810782098777</v>
      </c>
      <c r="F30" s="176"/>
      <c r="G30" s="175">
        <f>C30*E30</f>
        <v>500005634.88636822</v>
      </c>
      <c r="H30" s="201"/>
      <c r="I30" s="16"/>
      <c r="J30" s="47" t="s">
        <v>11</v>
      </c>
      <c r="K30" s="208">
        <v>120590</v>
      </c>
      <c r="L30" s="209"/>
      <c r="M30" s="210">
        <v>1713</v>
      </c>
      <c r="N30" s="211"/>
      <c r="O30" s="175">
        <f>K30*M30</f>
        <v>206570670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447267</v>
      </c>
      <c r="D37" s="175"/>
      <c r="E37" s="175">
        <f>$G$30+$O$30-K37</f>
        <v>706576304.88636827</v>
      </c>
      <c r="F37" s="175"/>
      <c r="G37" s="176">
        <f>E37/C37</f>
        <v>1579.7639997727717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326677</v>
      </c>
      <c r="D44" s="168"/>
      <c r="E44" s="63"/>
      <c r="F44" s="169">
        <f>$K$30</f>
        <v>120590</v>
      </c>
      <c r="G44" s="170"/>
      <c r="H44" s="170">
        <f>$L$23</f>
        <v>0</v>
      </c>
      <c r="I44" s="170"/>
      <c r="J44" s="170"/>
      <c r="K44" s="171">
        <f>$C$44-$H$44+$F$44+$O$44</f>
        <v>447267</v>
      </c>
      <c r="L44" s="171"/>
      <c r="M44" s="64">
        <f>SUM($K$44)/D10</f>
        <v>0.55908374999999999</v>
      </c>
      <c r="N44" s="65">
        <f>$G$37</f>
        <v>1579.7639997727717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1:Y124"/>
  <sheetViews>
    <sheetView showGridLines="0" topLeftCell="A30" zoomScale="70" zoomScaleNormal="70" workbookViewId="0">
      <selection activeCell="T22" sqref="T2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SUM('0314 (입고)'!K44:L44)</f>
        <v>447267</v>
      </c>
      <c r="F10" s="42"/>
      <c r="G10" s="12">
        <f>SUM('0314 (입고)'!N44)</f>
        <v>1579.7639997727717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63</v>
      </c>
      <c r="L16" s="35">
        <v>16000</v>
      </c>
      <c r="M16" s="102"/>
      <c r="N16" s="91">
        <f>IF(L16="","",($G$10))</f>
        <v>1579.7639997727717</v>
      </c>
      <c r="O16" s="92">
        <f>IF(L16="","",(SUM(M16)-N16))</f>
        <v>-1579.7639997727717</v>
      </c>
      <c r="P16" s="93">
        <f>IF(L16="","",(L16*O16))</f>
        <v>-25276223.996364348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48</v>
      </c>
      <c r="L17" s="35">
        <v>16000</v>
      </c>
      <c r="M17" s="15"/>
      <c r="N17" s="94">
        <f t="shared" ref="N17:N22" si="3">IF(L17="","",($G$10))</f>
        <v>1579.7639997727717</v>
      </c>
      <c r="O17" s="95">
        <f t="shared" ref="O17:O22" si="4">IF(L17="","",(SUM(M17)-N17))</f>
        <v>-1579.7639997727717</v>
      </c>
      <c r="P17" s="96">
        <f t="shared" ref="P17:P22" si="5">IF(L17="","",(L17*O17))</f>
        <v>-25276223.996364348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-50552447.992728695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415267</v>
      </c>
      <c r="D30" s="175"/>
      <c r="E30" s="176">
        <f>$G$10</f>
        <v>1579.7639997727717</v>
      </c>
      <c r="F30" s="176"/>
      <c r="G30" s="175">
        <f>C30*E30</f>
        <v>656023856.89363956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415267</v>
      </c>
      <c r="D37" s="175"/>
      <c r="E37" s="175">
        <f>$G$30+$O$30-K37</f>
        <v>656023856.89363956</v>
      </c>
      <c r="F37" s="175"/>
      <c r="G37" s="176">
        <f>E37/C37</f>
        <v>1579.7639997727717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447267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415267</v>
      </c>
      <c r="L44" s="171"/>
      <c r="M44" s="64">
        <f>SUM($K$44)/D10</f>
        <v>0.51908374999999995</v>
      </c>
      <c r="N44" s="65">
        <f>$G$37</f>
        <v>1579.7639997727717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00"/>
    <pageSetUpPr fitToPage="1"/>
  </sheetPr>
  <dimension ref="B1:Y124"/>
  <sheetViews>
    <sheetView showGridLines="0" topLeftCell="A16" zoomScaleNormal="100" workbookViewId="0">
      <selection activeCell="K16" sqref="K1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SUM('0316'!K44:L44)</f>
        <v>415267</v>
      </c>
      <c r="F10" s="42"/>
      <c r="G10" s="12">
        <f>SUM('0316'!N44)</f>
        <v>1579.7639997727717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82</v>
      </c>
      <c r="L16" s="35">
        <v>200</v>
      </c>
      <c r="M16" s="102"/>
      <c r="N16" s="91">
        <f>IF(L16="","",($G$10))</f>
        <v>1579.7639997727717</v>
      </c>
      <c r="O16" s="92">
        <f>IF(L16="","",(SUM(M16)-N16))</f>
        <v>-1579.7639997727717</v>
      </c>
      <c r="P16" s="93">
        <f>IF(L16="","",(L16*O16))</f>
        <v>-315952.79995455436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200</v>
      </c>
      <c r="M23" s="89"/>
      <c r="N23" s="89"/>
      <c r="O23" s="89"/>
      <c r="P23" s="90">
        <f>SUM(P16:P22)</f>
        <v>-315952.79995455436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415067</v>
      </c>
      <c r="D30" s="175"/>
      <c r="E30" s="176">
        <f>$G$10</f>
        <v>1579.7639997727717</v>
      </c>
      <c r="F30" s="176"/>
      <c r="G30" s="175">
        <f>C30*E30</f>
        <v>655707904.09368503</v>
      </c>
      <c r="H30" s="201"/>
      <c r="I30" s="16"/>
      <c r="J30" s="47" t="s">
        <v>11</v>
      </c>
      <c r="K30" s="208">
        <v>112200</v>
      </c>
      <c r="L30" s="209"/>
      <c r="M30" s="210">
        <v>1713</v>
      </c>
      <c r="N30" s="211"/>
      <c r="O30" s="175">
        <f>K30*M30</f>
        <v>192198600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527267</v>
      </c>
      <c r="D37" s="175"/>
      <c r="E37" s="175">
        <f>$G$30+$O$30-K37</f>
        <v>847906504.09368503</v>
      </c>
      <c r="F37" s="175"/>
      <c r="G37" s="176">
        <f>E37/C37</f>
        <v>1608.116009713646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415267</v>
      </c>
      <c r="D44" s="168"/>
      <c r="E44" s="63"/>
      <c r="F44" s="169">
        <f>$K$30</f>
        <v>112200</v>
      </c>
      <c r="G44" s="170"/>
      <c r="H44" s="170">
        <f>$L$23</f>
        <v>200</v>
      </c>
      <c r="I44" s="170"/>
      <c r="J44" s="170"/>
      <c r="K44" s="171">
        <f>$C$44-$H$44+$F$44+$O$44</f>
        <v>527267</v>
      </c>
      <c r="L44" s="171"/>
      <c r="M44" s="64">
        <f>SUM($K$44)/D10</f>
        <v>0.65908374999999997</v>
      </c>
      <c r="N44" s="65">
        <f>$G$37</f>
        <v>1608.116009713646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  <pageSetUpPr fitToPage="1"/>
  </sheetPr>
  <dimension ref="B1:Y124"/>
  <sheetViews>
    <sheetView showGridLines="0" topLeftCell="A25" zoomScale="130" zoomScaleNormal="130" workbookViewId="0">
      <selection activeCell="N36" sqref="N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SUM('0317 (입고)'!K44:L44)</f>
        <v>527267</v>
      </c>
      <c r="F10" s="42"/>
      <c r="G10" s="12">
        <f>SUM('0317 (입고)'!N44)</f>
        <v>1608.116009713646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527267</v>
      </c>
      <c r="D30" s="175"/>
      <c r="E30" s="176">
        <f>$G$10</f>
        <v>1608.116009713646</v>
      </c>
      <c r="F30" s="176"/>
      <c r="G30" s="175">
        <f>C30*E30</f>
        <v>847906504.09368503</v>
      </c>
      <c r="H30" s="201"/>
      <c r="I30" s="16"/>
      <c r="J30" s="47" t="s">
        <v>11</v>
      </c>
      <c r="K30" s="208">
        <v>56000</v>
      </c>
      <c r="L30" s="209"/>
      <c r="M30" s="210">
        <v>1713</v>
      </c>
      <c r="N30" s="211"/>
      <c r="O30" s="175">
        <f>K30*M30</f>
        <v>95928000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583267</v>
      </c>
      <c r="D37" s="175"/>
      <c r="E37" s="175">
        <f>$G$30+$O$30-K37</f>
        <v>943834504.09368503</v>
      </c>
      <c r="F37" s="175"/>
      <c r="G37" s="176">
        <f>E37/C37</f>
        <v>1618.1860178849224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527267</v>
      </c>
      <c r="D44" s="168"/>
      <c r="E44" s="63"/>
      <c r="F44" s="169">
        <f>$K$30</f>
        <v>56000</v>
      </c>
      <c r="G44" s="170"/>
      <c r="H44" s="170">
        <f>$L$23</f>
        <v>0</v>
      </c>
      <c r="I44" s="170"/>
      <c r="J44" s="170"/>
      <c r="K44" s="171">
        <f>$C$44-$H$44+$F$44+$O$44</f>
        <v>583267</v>
      </c>
      <c r="L44" s="171"/>
      <c r="M44" s="64">
        <f>SUM($K$44)/D10</f>
        <v>0.72908375000000003</v>
      </c>
      <c r="N44" s="65">
        <f>$G$37</f>
        <v>1618.1860178849224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1:Y124"/>
  <sheetViews>
    <sheetView showGridLines="0" topLeftCell="A12" zoomScale="70" zoomScaleNormal="70" workbookViewId="0">
      <selection activeCell="L16" sqref="L1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SUM('0318 (입고)'!K44:L44)</f>
        <v>583267</v>
      </c>
      <c r="F10" s="42"/>
      <c r="G10" s="12">
        <f>SUM('0318 (입고)'!N44)</f>
        <v>1618.1860178849224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83</v>
      </c>
      <c r="L16" s="35">
        <v>122000</v>
      </c>
      <c r="M16" s="102"/>
      <c r="N16" s="91">
        <f>IF(L16="","",($G$10))</f>
        <v>1618.1860178849224</v>
      </c>
      <c r="O16" s="92">
        <f>IF(L16="","",(SUM(M16)-N16))</f>
        <v>-1618.1860178849224</v>
      </c>
      <c r="P16" s="93">
        <f>IF(L16="","",(L16*O16))</f>
        <v>-197418694.18196052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64</v>
      </c>
      <c r="L17" s="35">
        <v>8000</v>
      </c>
      <c r="M17" s="15"/>
      <c r="N17" s="94">
        <f t="shared" ref="N17:N22" si="3">IF(L17="","",($G$10))</f>
        <v>1618.1860178849224</v>
      </c>
      <c r="O17" s="95">
        <f t="shared" ref="O17:O22" si="4">IF(L17="","",(SUM(M17)-N17))</f>
        <v>-1618.1860178849224</v>
      </c>
      <c r="P17" s="96">
        <f t="shared" ref="P17:P22" si="5">IF(L17="","",(L17*O17))</f>
        <v>-12945488.14307938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84</v>
      </c>
      <c r="L18" s="35">
        <v>20000</v>
      </c>
      <c r="M18" s="15"/>
      <c r="N18" s="94">
        <f t="shared" si="3"/>
        <v>1618.1860178849224</v>
      </c>
      <c r="O18" s="95">
        <f t="shared" si="4"/>
        <v>-1618.1860178849224</v>
      </c>
      <c r="P18" s="96">
        <f t="shared" si="5"/>
        <v>-32363720.357698448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85</v>
      </c>
      <c r="L19" s="35">
        <v>16000</v>
      </c>
      <c r="M19" s="15"/>
      <c r="N19" s="94">
        <f t="shared" si="3"/>
        <v>1618.1860178849224</v>
      </c>
      <c r="O19" s="95">
        <f t="shared" si="4"/>
        <v>-1618.1860178849224</v>
      </c>
      <c r="P19" s="96">
        <f t="shared" si="5"/>
        <v>-25890976.286158759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 t="s">
        <v>72</v>
      </c>
      <c r="L20" s="35">
        <v>12000</v>
      </c>
      <c r="M20" s="15"/>
      <c r="N20" s="94">
        <f t="shared" si="3"/>
        <v>1618.1860178849224</v>
      </c>
      <c r="O20" s="95">
        <f t="shared" si="4"/>
        <v>-1618.1860178849224</v>
      </c>
      <c r="P20" s="96">
        <f t="shared" si="5"/>
        <v>-19418232.21461907</v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178000</v>
      </c>
      <c r="M23" s="89"/>
      <c r="N23" s="89"/>
      <c r="O23" s="89"/>
      <c r="P23" s="90">
        <f>SUM(P16:P22)</f>
        <v>-288037111.18351614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405267</v>
      </c>
      <c r="D30" s="175"/>
      <c r="E30" s="176">
        <f>$G$10</f>
        <v>1618.1860178849224</v>
      </c>
      <c r="F30" s="176"/>
      <c r="G30" s="175">
        <f>C30*E30</f>
        <v>655797392.91016889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405267</v>
      </c>
      <c r="D37" s="175"/>
      <c r="E37" s="175">
        <f>$G$30+$O$30-K37</f>
        <v>655797392.91016889</v>
      </c>
      <c r="F37" s="175"/>
      <c r="G37" s="176">
        <f>E37/C37</f>
        <v>1618.1860178849224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2" t="s">
        <v>86</v>
      </c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583267</v>
      </c>
      <c r="D44" s="168"/>
      <c r="E44" s="63"/>
      <c r="F44" s="169">
        <f>$K$30</f>
        <v>0</v>
      </c>
      <c r="G44" s="170"/>
      <c r="H44" s="170">
        <f>$L$23</f>
        <v>178000</v>
      </c>
      <c r="I44" s="170"/>
      <c r="J44" s="170"/>
      <c r="K44" s="171">
        <f>$C$44-$H$44+$F$44+$O$44</f>
        <v>405267</v>
      </c>
      <c r="L44" s="171"/>
      <c r="M44" s="64">
        <f>SUM($K$44)/D10</f>
        <v>0.50658375</v>
      </c>
      <c r="N44" s="65">
        <f>$G$37</f>
        <v>1618.1860178849224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Y124"/>
  <sheetViews>
    <sheetView showGridLines="0" topLeftCell="A31" zoomScale="70" zoomScaleNormal="70" workbookViewId="0">
      <selection activeCell="Q18" sqref="Q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SUM('0318'!K44:L44)</f>
        <v>405267</v>
      </c>
      <c r="F10" s="42"/>
      <c r="G10" s="12">
        <f>SUM('0318'!N44)</f>
        <v>1618.1860178849224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87</v>
      </c>
      <c r="L16" s="35">
        <v>82000</v>
      </c>
      <c r="M16" s="102"/>
      <c r="N16" s="91">
        <f>IF(L16="","",($G$10))</f>
        <v>1618.1860178849224</v>
      </c>
      <c r="O16" s="92">
        <f>IF(L16="","",(SUM(M16)-N16))</f>
        <v>-1618.1860178849224</v>
      </c>
      <c r="P16" s="93">
        <f>IF(L16="","",(L16*O16))</f>
        <v>-132691253.46656364</v>
      </c>
    </row>
    <row r="17" spans="2:17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88</v>
      </c>
      <c r="L17" s="35">
        <v>90000</v>
      </c>
      <c r="M17" s="15"/>
      <c r="N17" s="94">
        <f t="shared" ref="N17:N22" si="3">IF(L17="","",($G$10))</f>
        <v>1618.1860178849224</v>
      </c>
      <c r="O17" s="95">
        <f t="shared" ref="O17:O22" si="4">IF(L17="","",(SUM(M17)-N17))</f>
        <v>-1618.1860178849224</v>
      </c>
      <c r="P17" s="96">
        <f t="shared" ref="P17:P22" si="5">IF(L17="","",(L17*O17))</f>
        <v>-145636741.60964301</v>
      </c>
      <c r="Q17" s="2" t="s">
        <v>89</v>
      </c>
    </row>
    <row r="18" spans="2:17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7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7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7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7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7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172000</v>
      </c>
      <c r="M23" s="89"/>
      <c r="N23" s="89"/>
      <c r="O23" s="89"/>
      <c r="P23" s="90">
        <f>SUM(P16:P22)</f>
        <v>-278327995.07620668</v>
      </c>
    </row>
    <row r="24" spans="2:17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7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7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7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7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7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7" ht="22.5" customHeight="1">
      <c r="B30" s="47" t="s">
        <v>11</v>
      </c>
      <c r="C30" s="174">
        <f>$E$10-$L$23</f>
        <v>233267</v>
      </c>
      <c r="D30" s="175"/>
      <c r="E30" s="176">
        <f>$G$10</f>
        <v>1618.1860178849224</v>
      </c>
      <c r="F30" s="176"/>
      <c r="G30" s="175">
        <f>C30*E30</f>
        <v>377469397.8339622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7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7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233267</v>
      </c>
      <c r="D37" s="175"/>
      <c r="E37" s="175">
        <f>$G$30+$O$30-K37</f>
        <v>377469397.8339622</v>
      </c>
      <c r="F37" s="175"/>
      <c r="G37" s="176">
        <f>E37/C37</f>
        <v>1618.1860178849224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405267</v>
      </c>
      <c r="D44" s="168"/>
      <c r="E44" s="63"/>
      <c r="F44" s="169">
        <f>$K$30</f>
        <v>0</v>
      </c>
      <c r="G44" s="170"/>
      <c r="H44" s="170">
        <f>$L$23</f>
        <v>172000</v>
      </c>
      <c r="I44" s="170"/>
      <c r="J44" s="170"/>
      <c r="K44" s="171">
        <f>$C$44-$H$44+$F$44+$O$44</f>
        <v>233267</v>
      </c>
      <c r="L44" s="171"/>
      <c r="M44" s="64">
        <f>SUM($K$44)/D10</f>
        <v>0.29158374999999997</v>
      </c>
      <c r="N44" s="65">
        <f>$G$37</f>
        <v>1618.1860178849224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00"/>
    <pageSetUpPr fitToPage="1"/>
  </sheetPr>
  <dimension ref="B1:Y124"/>
  <sheetViews>
    <sheetView showGridLines="0" topLeftCell="A18" zoomScaleNormal="100" workbookViewId="0">
      <selection activeCell="K37" sqref="K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SUM('0319'!K44:L44)</f>
        <v>233267</v>
      </c>
      <c r="F10" s="42"/>
      <c r="G10" s="12">
        <f>SUM('0319'!N44)</f>
        <v>1618.1860178849224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233267</v>
      </c>
      <c r="D30" s="175"/>
      <c r="E30" s="176">
        <f>$G$10</f>
        <v>1618.1860178849224</v>
      </c>
      <c r="F30" s="176"/>
      <c r="G30" s="175">
        <f>C30*E30</f>
        <v>377469397.8339622</v>
      </c>
      <c r="H30" s="201"/>
      <c r="I30" s="16"/>
      <c r="J30" s="47" t="s">
        <v>11</v>
      </c>
      <c r="K30" s="208">
        <f>180663-84000</f>
        <v>96663</v>
      </c>
      <c r="L30" s="209"/>
      <c r="M30" s="210">
        <v>1713</v>
      </c>
      <c r="N30" s="211"/>
      <c r="O30" s="175">
        <f>K30*M30</f>
        <v>165583719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329930</v>
      </c>
      <c r="D37" s="175"/>
      <c r="E37" s="175">
        <f>$G$30+$O$30-K37</f>
        <v>543053116.8339622</v>
      </c>
      <c r="F37" s="175"/>
      <c r="G37" s="176">
        <f>E37/C37</f>
        <v>1645.9646495740376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/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233267</v>
      </c>
      <c r="D44" s="168"/>
      <c r="E44" s="63"/>
      <c r="F44" s="169">
        <f>$K$30</f>
        <v>96663</v>
      </c>
      <c r="G44" s="170"/>
      <c r="H44" s="170">
        <f>$L$23</f>
        <v>0</v>
      </c>
      <c r="I44" s="170"/>
      <c r="J44" s="170"/>
      <c r="K44" s="171">
        <f>$C$44-$H$44+$F$44+$O$44</f>
        <v>329930</v>
      </c>
      <c r="L44" s="171"/>
      <c r="M44" s="64">
        <f>SUM($K$44)/D10</f>
        <v>0.41241250000000002</v>
      </c>
      <c r="N44" s="65">
        <f>$G$37</f>
        <v>1645.9646495740376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00"/>
    <pageSetUpPr fitToPage="1"/>
  </sheetPr>
  <dimension ref="B1:Y124"/>
  <sheetViews>
    <sheetView showGridLines="0" topLeftCell="D20" zoomScale="115" zoomScaleNormal="115" workbookViewId="0">
      <selection activeCell="V26" sqref="V2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SUM('0319 (입고)'!K44:L44)</f>
        <v>329930</v>
      </c>
      <c r="F10" s="42"/>
      <c r="G10" s="12">
        <f>SUM('0319 (입고)'!N44)</f>
        <v>1645.9646495740376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329930</v>
      </c>
      <c r="D30" s="175"/>
      <c r="E30" s="176">
        <f>$G$10</f>
        <v>1645.9646495740376</v>
      </c>
      <c r="F30" s="176"/>
      <c r="G30" s="175">
        <f>C30*E30</f>
        <v>543053116.8339622</v>
      </c>
      <c r="H30" s="201"/>
      <c r="I30" s="16"/>
      <c r="J30" s="47" t="s">
        <v>11</v>
      </c>
      <c r="K30" s="208">
        <v>64467</v>
      </c>
      <c r="L30" s="209"/>
      <c r="M30" s="210">
        <v>1713</v>
      </c>
      <c r="N30" s="211"/>
      <c r="O30" s="175">
        <f>K30*M30</f>
        <v>110431971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394397</v>
      </c>
      <c r="D37" s="175"/>
      <c r="E37" s="175">
        <f>$G$30+$O$30-K37</f>
        <v>653485087.8339622</v>
      </c>
      <c r="F37" s="175"/>
      <c r="G37" s="176">
        <f>E37/C37</f>
        <v>1656.9220552741583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>
        <v>56000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329930</v>
      </c>
      <c r="D44" s="168"/>
      <c r="E44" s="63"/>
      <c r="F44" s="169">
        <f>$K$30</f>
        <v>64467</v>
      </c>
      <c r="G44" s="170"/>
      <c r="H44" s="170">
        <f>$L$23</f>
        <v>0</v>
      </c>
      <c r="I44" s="170"/>
      <c r="J44" s="170"/>
      <c r="K44" s="171">
        <f>$C$44-$H$44+$F$44+$O$44</f>
        <v>394397</v>
      </c>
      <c r="L44" s="171"/>
      <c r="M44" s="64">
        <f>SUM($K$44)/D10</f>
        <v>0.49299625000000002</v>
      </c>
      <c r="N44" s="65">
        <f>$G$37</f>
        <v>1656.9220552741583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FF00"/>
    <pageSetUpPr fitToPage="1"/>
  </sheetPr>
  <dimension ref="B1:Y124"/>
  <sheetViews>
    <sheetView showGridLines="0" topLeftCell="A24" zoomScale="115" zoomScaleNormal="115" workbookViewId="0">
      <selection activeCell="Q41" sqref="Q4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SUM('0320 (입고)'!K44:L44)</f>
        <v>394397</v>
      </c>
      <c r="F10" s="42"/>
      <c r="G10" s="12">
        <f>SUM('0320 (입고)'!N44)</f>
        <v>1656.9220552741583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394397</v>
      </c>
      <c r="D30" s="175"/>
      <c r="E30" s="176">
        <f>$G$10</f>
        <v>1656.9220552741583</v>
      </c>
      <c r="F30" s="176"/>
      <c r="G30" s="175">
        <f>C30*E30</f>
        <v>653485087.8339622</v>
      </c>
      <c r="H30" s="201"/>
      <c r="I30" s="16"/>
      <c r="J30" s="47" t="s">
        <v>11</v>
      </c>
      <c r="K30" s="208">
        <v>64112</v>
      </c>
      <c r="L30" s="209"/>
      <c r="M30" s="210">
        <v>1713</v>
      </c>
      <c r="N30" s="211"/>
      <c r="O30" s="175">
        <f>K30*M30</f>
        <v>109823856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458509</v>
      </c>
      <c r="D37" s="175"/>
      <c r="E37" s="175">
        <f>$G$30+$O$30-K37</f>
        <v>763308943.8339622</v>
      </c>
      <c r="F37" s="175"/>
      <c r="G37" s="176">
        <f>E37/C37</f>
        <v>1664.7632736412202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>
        <v>56000</v>
      </c>
      <c r="U38" s="120"/>
      <c r="V38" s="120">
        <f>96112-64112</f>
        <v>32000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394397</v>
      </c>
      <c r="D44" s="168"/>
      <c r="E44" s="63"/>
      <c r="F44" s="169">
        <f>$K$30</f>
        <v>64112</v>
      </c>
      <c r="G44" s="170"/>
      <c r="H44" s="170">
        <f>$L$23</f>
        <v>0</v>
      </c>
      <c r="I44" s="170"/>
      <c r="J44" s="170"/>
      <c r="K44" s="171">
        <f>$C$44-$H$44+$F$44+$O$44</f>
        <v>458509</v>
      </c>
      <c r="L44" s="171"/>
      <c r="M44" s="64">
        <f>SUM($K$44)/D10</f>
        <v>0.57313625000000001</v>
      </c>
      <c r="N44" s="65">
        <f>$G$37</f>
        <v>1664.7632736412202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FF00"/>
    <pageSetUpPr fitToPage="1"/>
  </sheetPr>
  <dimension ref="B1:Y124"/>
  <sheetViews>
    <sheetView showGridLines="0" topLeftCell="A22" zoomScale="115" zoomScaleNormal="115" workbookViewId="0">
      <selection activeCell="R45" sqref="R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SUM('0323 (입고)'!K44:L44)</f>
        <v>458509</v>
      </c>
      <c r="F10" s="42"/>
      <c r="G10" s="12">
        <f>SUM('0323 (입고)'!N44)</f>
        <v>1664.7632736412202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458509</v>
      </c>
      <c r="D30" s="175"/>
      <c r="E30" s="176">
        <f>$G$10</f>
        <v>1664.7632736412202</v>
      </c>
      <c r="F30" s="176"/>
      <c r="G30" s="175">
        <f>C30*E30</f>
        <v>763308943.8339622</v>
      </c>
      <c r="H30" s="201"/>
      <c r="I30" s="16"/>
      <c r="J30" s="47" t="s">
        <v>11</v>
      </c>
      <c r="K30" s="208">
        <v>84286</v>
      </c>
      <c r="L30" s="209"/>
      <c r="M30" s="210">
        <v>1713</v>
      </c>
      <c r="N30" s="211"/>
      <c r="O30" s="175">
        <f>K30*M30</f>
        <v>144381918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542795</v>
      </c>
      <c r="D37" s="175"/>
      <c r="E37" s="175">
        <f>$G$30+$O$30-K37</f>
        <v>907690861.8339622</v>
      </c>
      <c r="F37" s="175"/>
      <c r="G37" s="176">
        <f>E37/C37</f>
        <v>1672.2535429286604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>
        <v>56000</v>
      </c>
      <c r="U38" s="120"/>
      <c r="V38" s="120">
        <f>96112-64112</f>
        <v>32000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458509</v>
      </c>
      <c r="D44" s="168"/>
      <c r="E44" s="63"/>
      <c r="F44" s="169">
        <f>$K$30</f>
        <v>84286</v>
      </c>
      <c r="G44" s="170"/>
      <c r="H44" s="170">
        <f>$L$23</f>
        <v>0</v>
      </c>
      <c r="I44" s="170"/>
      <c r="J44" s="170"/>
      <c r="K44" s="171">
        <f>$C$44-$H$44+$F$44+$O$44</f>
        <v>542795</v>
      </c>
      <c r="L44" s="171"/>
      <c r="M44" s="64">
        <f>SUM($K$44)/D10</f>
        <v>0.67849375000000001</v>
      </c>
      <c r="N44" s="65">
        <f>$G$37</f>
        <v>1672.2535429286604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1:Y124"/>
  <sheetViews>
    <sheetView showGridLines="0" topLeftCell="A26" zoomScale="70" zoomScaleNormal="70" workbookViewId="0">
      <selection activeCell="U46" sqref="U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SUM('0325 (입고)'!K44:L44)</f>
        <v>542795</v>
      </c>
      <c r="F10" s="42"/>
      <c r="G10" s="12">
        <f>SUM('0325 (입고)'!N44)</f>
        <v>1672.2535429286604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90</v>
      </c>
      <c r="L16" s="35">
        <v>28000</v>
      </c>
      <c r="M16" s="102"/>
      <c r="N16" s="91">
        <f>IF(L16="","",($G$10))</f>
        <v>1672.2535429286604</v>
      </c>
      <c r="O16" s="92">
        <f>IF(L16="","",(SUM(M16)-N16))</f>
        <v>-1672.2535429286604</v>
      </c>
      <c r="P16" s="93">
        <f>IF(L16="","",(L16*O16))</f>
        <v>-46823099.202002488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-46823099.202002488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514795</v>
      </c>
      <c r="D30" s="175"/>
      <c r="E30" s="176">
        <f>$G$10</f>
        <v>1672.2535429286604</v>
      </c>
      <c r="F30" s="176"/>
      <c r="G30" s="175">
        <f>C30*E30</f>
        <v>860867762.63195968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514795</v>
      </c>
      <c r="D37" s="175"/>
      <c r="E37" s="175">
        <f>$G$30+$O$30-K37</f>
        <v>860867762.63195968</v>
      </c>
      <c r="F37" s="175"/>
      <c r="G37" s="176">
        <f>E37/C37</f>
        <v>1672.2535429286604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>
        <v>56000</v>
      </c>
      <c r="U38" s="120"/>
      <c r="V38" s="120">
        <f>96112-64112</f>
        <v>32000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542795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514795</v>
      </c>
      <c r="L44" s="171"/>
      <c r="M44" s="64">
        <f>SUM($K$44)/D10</f>
        <v>0.64349374999999998</v>
      </c>
      <c r="N44" s="65">
        <f>$G$37</f>
        <v>1672.2535429286604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FF00"/>
    <pageSetUpPr fitToPage="1"/>
  </sheetPr>
  <dimension ref="B1:Y124"/>
  <sheetViews>
    <sheetView showGridLines="0" topLeftCell="D33" zoomScale="115" zoomScaleNormal="115" workbookViewId="0">
      <selection activeCell="P35" sqref="P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SUM('0325'!K44:L44)</f>
        <v>514795</v>
      </c>
      <c r="F10" s="42"/>
      <c r="G10" s="12">
        <f>SUM('0325'!N44)</f>
        <v>1672.2535429286604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514795</v>
      </c>
      <c r="D30" s="175"/>
      <c r="E30" s="176">
        <f>$G$10</f>
        <v>1672.2535429286604</v>
      </c>
      <c r="F30" s="176"/>
      <c r="G30" s="175">
        <f>C30*E30</f>
        <v>860867762.63195968</v>
      </c>
      <c r="H30" s="201"/>
      <c r="I30" s="16"/>
      <c r="J30" s="47" t="s">
        <v>11</v>
      </c>
      <c r="K30" s="208">
        <v>56000</v>
      </c>
      <c r="L30" s="209"/>
      <c r="M30" s="210">
        <v>1713</v>
      </c>
      <c r="N30" s="211"/>
      <c r="O30" s="175">
        <f>K30*M30</f>
        <v>95928000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570795</v>
      </c>
      <c r="D37" s="175"/>
      <c r="E37" s="175">
        <f>$G$30+$O$30-K37</f>
        <v>956795762.63195968</v>
      </c>
      <c r="F37" s="175"/>
      <c r="G37" s="176">
        <f>E37/C37</f>
        <v>1676.2511280441483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>
        <v>56000</v>
      </c>
      <c r="U38" s="120"/>
      <c r="V38" s="120">
        <f>96112-64112</f>
        <v>32000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514795</v>
      </c>
      <c r="D44" s="168"/>
      <c r="E44" s="63"/>
      <c r="F44" s="169">
        <f>$K$30</f>
        <v>56000</v>
      </c>
      <c r="G44" s="170"/>
      <c r="H44" s="170">
        <f>$L$23</f>
        <v>0</v>
      </c>
      <c r="I44" s="170"/>
      <c r="J44" s="170"/>
      <c r="K44" s="171">
        <f>$C$44-$H$44+$F$44+$O$44</f>
        <v>570795</v>
      </c>
      <c r="L44" s="171"/>
      <c r="M44" s="64">
        <f>SUM($K$44)/D10</f>
        <v>0.71349375000000004</v>
      </c>
      <c r="N44" s="65">
        <f>$G$37</f>
        <v>1676.2511280441483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1:Y124"/>
  <sheetViews>
    <sheetView showGridLines="0" topLeftCell="A27" zoomScale="70" zoomScaleNormal="70" workbookViewId="0">
      <selection activeCell="V36" sqref="V36:W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SUM('0326 (입고)'!K44:L44)</f>
        <v>570795</v>
      </c>
      <c r="F10" s="42"/>
      <c r="G10" s="12">
        <f>SUM('0326 (입고)'!N44)</f>
        <v>1676.2511280441483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84</v>
      </c>
      <c r="L16" s="35">
        <v>20000</v>
      </c>
      <c r="M16" s="102"/>
      <c r="N16" s="91">
        <f>IF(L16="","",($G$10))</f>
        <v>1676.2511280441483</v>
      </c>
      <c r="O16" s="92">
        <f>IF(L16="","",(SUM(M16)-N16))</f>
        <v>-1676.2511280441483</v>
      </c>
      <c r="P16" s="93">
        <f>IF(L16="","",(L16*O16))</f>
        <v>-33525022.560882967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91</v>
      </c>
      <c r="L17" s="35">
        <v>8000</v>
      </c>
      <c r="M17" s="15"/>
      <c r="N17" s="94">
        <f t="shared" ref="N17:N22" si="3">IF(L17="","",($G$10))</f>
        <v>1676.2511280441483</v>
      </c>
      <c r="O17" s="95">
        <f t="shared" ref="O17:O22" si="4">IF(L17="","",(SUM(M17)-N17))</f>
        <v>-1676.2511280441483</v>
      </c>
      <c r="P17" s="96">
        <f t="shared" ref="P17:P22" si="5">IF(L17="","",(L17*O17))</f>
        <v>-13410009.024353188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-46935031.585236154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542795</v>
      </c>
      <c r="D30" s="175"/>
      <c r="E30" s="176">
        <f>$G$10</f>
        <v>1676.2511280441483</v>
      </c>
      <c r="F30" s="176"/>
      <c r="G30" s="175">
        <f>C30*E30</f>
        <v>909860731.04672348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542795</v>
      </c>
      <c r="D37" s="175"/>
      <c r="E37" s="175">
        <f>$G$30+$O$30-K37</f>
        <v>909860731.04672348</v>
      </c>
      <c r="F37" s="175"/>
      <c r="G37" s="176">
        <f>E37/C37</f>
        <v>1676.2511280441483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84000</v>
      </c>
      <c r="S38" s="120"/>
      <c r="T38" s="120">
        <v>56000</v>
      </c>
      <c r="U38" s="120"/>
      <c r="V38" s="120">
        <f>96112-64112</f>
        <v>32000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7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570795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542795</v>
      </c>
      <c r="L44" s="171"/>
      <c r="M44" s="64">
        <f>SUM($K$44)/D10</f>
        <v>0.67849375000000001</v>
      </c>
      <c r="N44" s="65">
        <f>$G$37</f>
        <v>1676.2511280441483</v>
      </c>
      <c r="O44" s="101"/>
      <c r="P44" s="22"/>
      <c r="Q44" s="137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1:Y124"/>
  <sheetViews>
    <sheetView showGridLines="0" topLeftCell="A28" zoomScale="70" zoomScaleNormal="70" workbookViewId="0">
      <selection activeCell="V36" sqref="V36:W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SUM('0326'!K44:L44)</f>
        <v>542795</v>
      </c>
      <c r="F10" s="42"/>
      <c r="G10" s="12">
        <f>SUM('0326'!N44)</f>
        <v>1676.2511280441483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81</v>
      </c>
      <c r="L16" s="35">
        <v>20000</v>
      </c>
      <c r="M16" s="102"/>
      <c r="N16" s="91">
        <f>IF(L16="","",($G$10))</f>
        <v>1676.2511280441483</v>
      </c>
      <c r="O16" s="92">
        <f>IF(L16="","",(SUM(M16)-N16))</f>
        <v>-1676.2511280441483</v>
      </c>
      <c r="P16" s="93">
        <f>IF(L16="","",(L16*O16))</f>
        <v>-33525022.560882967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20000</v>
      </c>
      <c r="M23" s="89"/>
      <c r="N23" s="89"/>
      <c r="O23" s="89"/>
      <c r="P23" s="90">
        <f>SUM(P16:P22)</f>
        <v>-33525022.560882967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522795</v>
      </c>
      <c r="D30" s="175"/>
      <c r="E30" s="176">
        <f>$G$10</f>
        <v>1676.2511280441483</v>
      </c>
      <c r="F30" s="176"/>
      <c r="G30" s="175">
        <f>C30*E30</f>
        <v>876335708.48584056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522795</v>
      </c>
      <c r="D37" s="175"/>
      <c r="E37" s="175">
        <f>$G$30+$O$30-K37</f>
        <v>876335708.48584056</v>
      </c>
      <c r="F37" s="175"/>
      <c r="G37" s="176">
        <f>E37/C37</f>
        <v>1676.2511280441483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</f>
        <v>84000</v>
      </c>
      <c r="S38" s="120"/>
      <c r="T38" s="120">
        <v>56000</v>
      </c>
      <c r="U38" s="120"/>
      <c r="V38" s="120">
        <f>96112-64112</f>
        <v>32000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542795</v>
      </c>
      <c r="D44" s="168"/>
      <c r="E44" s="63"/>
      <c r="F44" s="169">
        <f>$K$30</f>
        <v>0</v>
      </c>
      <c r="G44" s="170"/>
      <c r="H44" s="170">
        <f>$L$23</f>
        <v>20000</v>
      </c>
      <c r="I44" s="170"/>
      <c r="J44" s="170"/>
      <c r="K44" s="171">
        <f>$C$44-$H$44+$F$44+$O$44</f>
        <v>522795</v>
      </c>
      <c r="L44" s="171"/>
      <c r="M44" s="64">
        <f>SUM($K$44)/D10</f>
        <v>0.65349374999999998</v>
      </c>
      <c r="N44" s="65">
        <f>$G$37</f>
        <v>1676.2511280441483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1:Y124"/>
  <sheetViews>
    <sheetView showGridLines="0" topLeftCell="A24" zoomScaleNormal="100" workbookViewId="0">
      <selection activeCell="N44" sqref="N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SUM('0328'!K44:L44)</f>
        <v>522795</v>
      </c>
      <c r="F10" s="42"/>
      <c r="G10" s="12">
        <f>SUM('0328'!N44)</f>
        <v>1676.2511280441483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92</v>
      </c>
      <c r="L16" s="35">
        <v>26020</v>
      </c>
      <c r="M16" s="102"/>
      <c r="N16" s="91">
        <f>IF(L16="","",($G$10))</f>
        <v>1676.2511280441483</v>
      </c>
      <c r="O16" s="92">
        <f>IF(L16="","",(SUM(M16)-N16))</f>
        <v>-1676.2511280441483</v>
      </c>
      <c r="P16" s="93">
        <f>IF(L16="","",(L16*O16))</f>
        <v>-43616054.35170874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26020</v>
      </c>
      <c r="M23" s="89"/>
      <c r="N23" s="89"/>
      <c r="O23" s="89"/>
      <c r="P23" s="90">
        <f>SUM(P16:P22)</f>
        <v>-43616054.35170874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496775</v>
      </c>
      <c r="D30" s="175"/>
      <c r="E30" s="176">
        <f>$G$10</f>
        <v>1676.2511280441483</v>
      </c>
      <c r="F30" s="176"/>
      <c r="G30" s="175">
        <f>C30*E30</f>
        <v>832719654.13413179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496775</v>
      </c>
      <c r="D37" s="175"/>
      <c r="E37" s="175">
        <f>$G$30+$O$30-K37</f>
        <v>832719654.13413179</v>
      </c>
      <c r="F37" s="175"/>
      <c r="G37" s="176">
        <f>E37/C37</f>
        <v>1676.2511280441483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84000-28000</f>
        <v>56000</v>
      </c>
      <c r="S38" s="120"/>
      <c r="T38" s="120">
        <v>56000</v>
      </c>
      <c r="U38" s="120"/>
      <c r="V38" s="120">
        <f>96112-64112-32000</f>
        <v>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522795</v>
      </c>
      <c r="D44" s="168"/>
      <c r="E44" s="63"/>
      <c r="F44" s="169">
        <f>$K$30</f>
        <v>0</v>
      </c>
      <c r="G44" s="170"/>
      <c r="H44" s="170">
        <f>$L$23</f>
        <v>26020</v>
      </c>
      <c r="I44" s="170"/>
      <c r="J44" s="170"/>
      <c r="K44" s="171">
        <f>$C$44-$H$44+$F$44+$O$44</f>
        <v>496775</v>
      </c>
      <c r="L44" s="171"/>
      <c r="M44" s="64">
        <f>SUM($K$44)/D10</f>
        <v>0.62096874999999996</v>
      </c>
      <c r="N44" s="65">
        <f>$G$37</f>
        <v>1676.2511280441483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7"/>
      <c r="R45" s="132"/>
      <c r="S45" s="122"/>
      <c r="T45" s="131"/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1:Y124"/>
  <sheetViews>
    <sheetView showGridLines="0" topLeftCell="A22" zoomScale="85" zoomScaleNormal="85" workbookViewId="0">
      <selection activeCell="AA30" sqref="AA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SUM('0330'!K44:L44)</f>
        <v>496775</v>
      </c>
      <c r="F10" s="42"/>
      <c r="G10" s="12">
        <f>SUM('0330'!N44)</f>
        <v>1676.2511280441483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496775</v>
      </c>
      <c r="D30" s="175"/>
      <c r="E30" s="176">
        <f>$G$10</f>
        <v>1676.2511280441483</v>
      </c>
      <c r="F30" s="176"/>
      <c r="G30" s="175">
        <f>C30*E30</f>
        <v>832719654.13413179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496775</v>
      </c>
      <c r="D37" s="175"/>
      <c r="E37" s="175">
        <f>$G$30+$O$30-K37</f>
        <v>832719654.13413179</v>
      </c>
      <c r="F37" s="175"/>
      <c r="G37" s="176">
        <f>E37/C37</f>
        <v>1676.2511280441483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84000-28000-28000</f>
        <v>28000</v>
      </c>
      <c r="S38" s="120"/>
      <c r="T38" s="120">
        <v>56000</v>
      </c>
      <c r="U38" s="120"/>
      <c r="V38" s="120">
        <f>96112-64112-32000</f>
        <v>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496775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496775</v>
      </c>
      <c r="L44" s="171"/>
      <c r="M44" s="64">
        <f>SUM($K$44)/D10</f>
        <v>0.62096874999999996</v>
      </c>
      <c r="N44" s="65">
        <f>$G$37</f>
        <v>1676.2511280441483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7"/>
      <c r="R46" s="132"/>
      <c r="S46" s="122"/>
      <c r="T46" s="131"/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FF00"/>
    <pageSetUpPr fitToPage="1"/>
  </sheetPr>
  <dimension ref="B1:Y124"/>
  <sheetViews>
    <sheetView showGridLines="0" topLeftCell="A25" zoomScale="130" zoomScaleNormal="130" workbookViewId="0">
      <selection activeCell="L33" sqref="L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800000</v>
      </c>
      <c r="E10" s="11">
        <f>SUM('0331'!K44:L44)</f>
        <v>496775</v>
      </c>
      <c r="F10" s="42"/>
      <c r="G10" s="12">
        <f>SUM('0331'!N44)</f>
        <v>1676.2511280441483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496775</v>
      </c>
      <c r="D30" s="175"/>
      <c r="E30" s="176">
        <f>$G$10</f>
        <v>1676.2511280441483</v>
      </c>
      <c r="F30" s="176"/>
      <c r="G30" s="175">
        <f>C30*E30</f>
        <v>832719654.13413179</v>
      </c>
      <c r="H30" s="201"/>
      <c r="I30" s="16"/>
      <c r="J30" s="47" t="s">
        <v>11</v>
      </c>
      <c r="K30" s="208">
        <v>64077</v>
      </c>
      <c r="L30" s="209"/>
      <c r="M30" s="210">
        <v>1889.0135177380901</v>
      </c>
      <c r="N30" s="211"/>
      <c r="O30" s="175">
        <f>K30*M30</f>
        <v>121042319.17610359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560852</v>
      </c>
      <c r="D37" s="175"/>
      <c r="E37" s="175">
        <f>$G$30+$O$30-K37</f>
        <v>953761973.31023538</v>
      </c>
      <c r="F37" s="175"/>
      <c r="G37" s="176">
        <f>E37/C37</f>
        <v>1700.5591017063955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84000-28000-28000-28000</f>
        <v>0</v>
      </c>
      <c r="S38" s="120"/>
      <c r="T38" s="120">
        <v>56000</v>
      </c>
      <c r="U38" s="120"/>
      <c r="V38" s="120">
        <f>96112-64112-32000</f>
        <v>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496775</v>
      </c>
      <c r="D44" s="168"/>
      <c r="E44" s="63"/>
      <c r="F44" s="169">
        <f>$K$30</f>
        <v>64077</v>
      </c>
      <c r="G44" s="170"/>
      <c r="H44" s="170">
        <f>$L$23</f>
        <v>0</v>
      </c>
      <c r="I44" s="170"/>
      <c r="J44" s="170"/>
      <c r="K44" s="171">
        <f>$C$44-$H$44+$F$44+$O$44</f>
        <v>566306</v>
      </c>
      <c r="L44" s="171"/>
      <c r="M44" s="64">
        <f>SUM($K$44)/D10</f>
        <v>0.70788249999999997</v>
      </c>
      <c r="N44" s="65">
        <f>$G$37</f>
        <v>1700.5591017063955</v>
      </c>
      <c r="O44" s="101">
        <v>5454</v>
      </c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46113</v>
      </c>
      <c r="R46" s="132" t="s">
        <v>45</v>
      </c>
      <c r="S46" s="122">
        <v>28000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1:Y124"/>
  <sheetViews>
    <sheetView showGridLines="0" topLeftCell="A30" zoomScaleNormal="100" workbookViewId="0">
      <selection activeCell="N48" sqref="N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SUM('0402 (입고)'!K44:L44)</f>
        <v>566306</v>
      </c>
      <c r="F10" s="42"/>
      <c r="G10" s="12">
        <f>SUM('0402 (입고)'!N44)</f>
        <v>1700.5591017063955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566306</v>
      </c>
      <c r="D30" s="175"/>
      <c r="E30" s="176">
        <f>$G$10</f>
        <v>1700.5591017063955</v>
      </c>
      <c r="F30" s="176"/>
      <c r="G30" s="175">
        <f>C30*E30</f>
        <v>963036822.65094197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566306</v>
      </c>
      <c r="D37" s="175"/>
      <c r="E37" s="175">
        <f>$G$30+$O$30-K37</f>
        <v>963036822.65094197</v>
      </c>
      <c r="F37" s="175"/>
      <c r="G37" s="176">
        <f>E37/C37</f>
        <v>1700.5591017063955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84000-28000-28000-28000</f>
        <v>0</v>
      </c>
      <c r="S38" s="120"/>
      <c r="T38" s="120">
        <v>56000</v>
      </c>
      <c r="U38" s="120"/>
      <c r="V38" s="120">
        <f>96112-64112-32000</f>
        <v>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566306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566306</v>
      </c>
      <c r="L44" s="171"/>
      <c r="M44" s="64">
        <f>SUM($K$44)/D10</f>
        <v>0.75507466666666667</v>
      </c>
      <c r="N44" s="65">
        <f>$G$37</f>
        <v>1700.5591017063955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34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4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7"/>
      <c r="R47" s="132"/>
      <c r="S47" s="122"/>
      <c r="T47" s="131"/>
    </row>
    <row r="48" spans="2:25" ht="24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4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6.2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FF00"/>
    <pageSetUpPr fitToPage="1"/>
  </sheetPr>
  <dimension ref="B1:Y124"/>
  <sheetViews>
    <sheetView showGridLines="0" topLeftCell="A27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SUM('0402'!K44:L44)</f>
        <v>566306</v>
      </c>
      <c r="F10" s="42"/>
      <c r="G10" s="12">
        <f>SUM('0402'!N44)</f>
        <v>1700.5591017063955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566306</v>
      </c>
      <c r="D30" s="175"/>
      <c r="E30" s="176">
        <f>$G$10</f>
        <v>1700.5591017063955</v>
      </c>
      <c r="F30" s="176"/>
      <c r="G30" s="175">
        <f>C30*E30</f>
        <v>963036822.65094197</v>
      </c>
      <c r="H30" s="201"/>
      <c r="I30" s="16"/>
      <c r="J30" s="47" t="s">
        <v>11</v>
      </c>
      <c r="K30" s="208">
        <v>64096</v>
      </c>
      <c r="L30" s="209"/>
      <c r="M30" s="210">
        <v>1906.03221055322</v>
      </c>
      <c r="N30" s="211"/>
      <c r="O30" s="175">
        <f>K30*M30</f>
        <v>122169040.56761919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630402</v>
      </c>
      <c r="D37" s="175"/>
      <c r="E37" s="175">
        <f>$G$30+$O$30-K37</f>
        <v>1085205863.2185612</v>
      </c>
      <c r="F37" s="175"/>
      <c r="G37" s="176">
        <f>E37/C37</f>
        <v>1721.4505398437207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84000-28000-28000-28000</f>
        <v>0</v>
      </c>
      <c r="S38" s="120"/>
      <c r="T38" s="120">
        <v>56000</v>
      </c>
      <c r="U38" s="120"/>
      <c r="V38" s="120">
        <f>96112-64112-32000</f>
        <v>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566306</v>
      </c>
      <c r="D44" s="168"/>
      <c r="E44" s="63"/>
      <c r="F44" s="169">
        <f>$K$30</f>
        <v>64096</v>
      </c>
      <c r="G44" s="170"/>
      <c r="H44" s="170">
        <f>$L$23</f>
        <v>0</v>
      </c>
      <c r="I44" s="170"/>
      <c r="J44" s="170"/>
      <c r="K44" s="171">
        <f>$C$44-$H$44+$F$44+$O$44</f>
        <v>630402</v>
      </c>
      <c r="L44" s="171"/>
      <c r="M44" s="64">
        <f>SUM($K$44)/D10</f>
        <v>0.84053599999999995</v>
      </c>
      <c r="N44" s="65">
        <f>$G$37</f>
        <v>1721.4505398437207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1:Y124"/>
  <sheetViews>
    <sheetView showGridLines="0" topLeftCell="A45" zoomScaleNormal="100" workbookViewId="0">
      <selection activeCell="Q47" sqref="Q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SUM('0403 (입고)'!K44:L44)</f>
        <v>630402</v>
      </c>
      <c r="F10" s="42"/>
      <c r="G10" s="12">
        <f>SUM('0403 (입고)'!N44)</f>
        <v>1721.4505398437207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63</v>
      </c>
      <c r="L16" s="35">
        <v>12000</v>
      </c>
      <c r="M16" s="102"/>
      <c r="N16" s="91">
        <f>IF(L16="","",($G$10))</f>
        <v>1721.4505398437207</v>
      </c>
      <c r="O16" s="92">
        <f>IF(L16="","",(SUM(M16)-N16))</f>
        <v>-1721.4505398437207</v>
      </c>
      <c r="P16" s="93">
        <f>IF(L16="","",(L16*O16))</f>
        <v>-20657406.478124648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48</v>
      </c>
      <c r="L17" s="35">
        <v>20000</v>
      </c>
      <c r="M17" s="15"/>
      <c r="N17" s="94">
        <f t="shared" ref="N17:N22" si="3">IF(L17="","",($G$10))</f>
        <v>1721.4505398437207</v>
      </c>
      <c r="O17" s="95">
        <f t="shared" ref="O17:O22" si="4">IF(L17="","",(SUM(M17)-N17))</f>
        <v>-1721.4505398437207</v>
      </c>
      <c r="P17" s="96">
        <f t="shared" ref="P17:P22" si="5">IF(L17="","",(L17*O17))</f>
        <v>-34429010.796874411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-55086417.27499906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598402</v>
      </c>
      <c r="D30" s="175"/>
      <c r="E30" s="176">
        <f>$G$10</f>
        <v>1721.4505398437207</v>
      </c>
      <c r="F30" s="176"/>
      <c r="G30" s="175">
        <f>C30*E30</f>
        <v>1030119445.9435622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46101</v>
      </c>
      <c r="S36" s="173"/>
      <c r="T36" s="172">
        <v>46102</v>
      </c>
      <c r="U36" s="173"/>
      <c r="V36" s="172">
        <v>46104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598402</v>
      </c>
      <c r="D37" s="175"/>
      <c r="E37" s="175">
        <f>$G$30+$O$30-K37</f>
        <v>1030119445.9435622</v>
      </c>
      <c r="F37" s="175"/>
      <c r="G37" s="176">
        <f>E37/C37</f>
        <v>1721.4505398437207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69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84000-28000-28000-28000</f>
        <v>0</v>
      </c>
      <c r="S38" s="120"/>
      <c r="T38" s="120">
        <f>56000-28000</f>
        <v>28000</v>
      </c>
      <c r="U38" s="120"/>
      <c r="V38" s="120">
        <f>96112-64112-32000</f>
        <v>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5"/>
      <c r="T39" s="125" t="s">
        <v>54</v>
      </c>
      <c r="U39" s="125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630402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598402</v>
      </c>
      <c r="L44" s="171"/>
      <c r="M44" s="64">
        <f>SUM($K$44)/D10</f>
        <v>0.79786933333333332</v>
      </c>
      <c r="N44" s="65">
        <f>$G$37</f>
        <v>1721.4505398437207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  <pageSetUpPr fitToPage="1"/>
  </sheetPr>
  <dimension ref="B1:Y124"/>
  <sheetViews>
    <sheetView showGridLines="0" topLeftCell="A24" zoomScaleNormal="100" workbookViewId="0">
      <selection activeCell="M33" sqref="M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SUM('0403'!K44:L44)</f>
        <v>598402</v>
      </c>
      <c r="F10" s="42"/>
      <c r="G10" s="12">
        <f>SUM('0403'!N44)</f>
        <v>1721.4505398437207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7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7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7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7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7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7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7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7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7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7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7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7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7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7" ht="22.5" customHeight="1">
      <c r="B30" s="47" t="s">
        <v>11</v>
      </c>
      <c r="C30" s="174">
        <f>$E$10-$L$23</f>
        <v>598402</v>
      </c>
      <c r="D30" s="175"/>
      <c r="E30" s="176">
        <f>$G$10</f>
        <v>1721.4505398437207</v>
      </c>
      <c r="F30" s="176"/>
      <c r="G30" s="175">
        <f>C30*E30</f>
        <v>1030119445.9435622</v>
      </c>
      <c r="H30" s="201"/>
      <c r="I30" s="16"/>
      <c r="J30" s="47" t="s">
        <v>11</v>
      </c>
      <c r="K30" s="208">
        <f>272062-28062+30000</f>
        <v>274000</v>
      </c>
      <c r="L30" s="209"/>
      <c r="M30" s="210">
        <v>1915.55770461418</v>
      </c>
      <c r="N30" s="211"/>
      <c r="O30" s="175">
        <f>K30*M30</f>
        <v>524862811.06428534</v>
      </c>
      <c r="P30" s="201"/>
      <c r="Q30" s="2" t="s">
        <v>93</v>
      </c>
    </row>
    <row r="31" spans="2:17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7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46102</v>
      </c>
      <c r="S36" s="173"/>
      <c r="T36" s="172">
        <v>46104</v>
      </c>
      <c r="U36" s="173"/>
      <c r="V36" s="172">
        <v>46116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872402</v>
      </c>
      <c r="D37" s="175"/>
      <c r="E37" s="175">
        <f>$G$30+$O$30-K37</f>
        <v>1554982257.0078475</v>
      </c>
      <c r="F37" s="175"/>
      <c r="G37" s="176">
        <f>E37/C37</f>
        <v>1782.4148236797344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69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56000-28000</f>
        <v>28000</v>
      </c>
      <c r="S38" s="120"/>
      <c r="T38" s="120">
        <f>96112-64112-32000</f>
        <v>0</v>
      </c>
      <c r="U38" s="120"/>
      <c r="V38" s="120">
        <v>28062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5" t="s">
        <v>54</v>
      </c>
      <c r="S39" s="125"/>
      <c r="T39" s="121" t="s">
        <v>46</v>
      </c>
      <c r="U39" s="121"/>
      <c r="V39" s="121" t="s">
        <v>46</v>
      </c>
      <c r="W39" s="121">
        <v>1889.0135177380939</v>
      </c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598402</v>
      </c>
      <c r="D44" s="168"/>
      <c r="E44" s="63"/>
      <c r="F44" s="169">
        <f>$K$30</f>
        <v>274000</v>
      </c>
      <c r="G44" s="170"/>
      <c r="H44" s="170">
        <f>$L$23</f>
        <v>0</v>
      </c>
      <c r="I44" s="170"/>
      <c r="J44" s="170"/>
      <c r="K44" s="171">
        <f>$C$44-$H$44+$F$44+$O$44</f>
        <v>872402</v>
      </c>
      <c r="L44" s="171"/>
      <c r="M44" s="64">
        <f>SUM($K$44)/D10</f>
        <v>1.1632026666666666</v>
      </c>
      <c r="N44" s="65">
        <f>$G$37</f>
        <v>1782.4148236797344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B1:Y124"/>
  <sheetViews>
    <sheetView showGridLines="0" topLeftCell="A10" zoomScaleNormal="100" workbookViewId="0">
      <selection activeCell="V38" sqref="V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SUM('0404 (입고)'!K44:L44)</f>
        <v>872402</v>
      </c>
      <c r="F10" s="42"/>
      <c r="G10" s="12">
        <f>SUM('0404 (입고)'!N44)</f>
        <v>1782.4148236797344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83</v>
      </c>
      <c r="L16" s="35">
        <v>244000</v>
      </c>
      <c r="M16" s="102"/>
      <c r="N16" s="91">
        <f>IF(L16="","",($G$10))</f>
        <v>1782.4148236797344</v>
      </c>
      <c r="O16" s="92">
        <f>IF(L16="","",(SUM(M16)-N16))</f>
        <v>-1782.4148236797344</v>
      </c>
      <c r="P16" s="93">
        <f>IF(L16="","",(L16*O16))</f>
        <v>-434909216.97785521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244000</v>
      </c>
      <c r="M23" s="89"/>
      <c r="N23" s="89"/>
      <c r="O23" s="89"/>
      <c r="P23" s="90">
        <f>SUM(P16:P22)</f>
        <v>-434909216.97785521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628402</v>
      </c>
      <c r="D30" s="175"/>
      <c r="E30" s="176">
        <f>$G$10</f>
        <v>1782.4148236797344</v>
      </c>
      <c r="F30" s="176"/>
      <c r="G30" s="175">
        <f>C30*E30</f>
        <v>1120073040.0299923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46102</v>
      </c>
      <c r="S36" s="173"/>
      <c r="T36" s="172">
        <v>46104</v>
      </c>
      <c r="U36" s="173"/>
      <c r="V36" s="172">
        <v>46116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628402</v>
      </c>
      <c r="D37" s="175"/>
      <c r="E37" s="175">
        <f>$G$30+$O$30-K37</f>
        <v>1120073040.0299923</v>
      </c>
      <c r="F37" s="175"/>
      <c r="G37" s="176">
        <f>E37/C37</f>
        <v>1782.4148236797341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69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56000-28000</f>
        <v>28000</v>
      </c>
      <c r="S38" s="120"/>
      <c r="T38" s="120">
        <f>96112-64112-32000</f>
        <v>0</v>
      </c>
      <c r="U38" s="120"/>
      <c r="V38" s="120">
        <v>28062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5" t="s">
        <v>54</v>
      </c>
      <c r="S39" s="125"/>
      <c r="T39" s="121" t="s">
        <v>46</v>
      </c>
      <c r="U39" s="121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872402</v>
      </c>
      <c r="D44" s="168"/>
      <c r="E44" s="63"/>
      <c r="F44" s="169">
        <f>$K$30</f>
        <v>0</v>
      </c>
      <c r="G44" s="170"/>
      <c r="H44" s="170">
        <f>$L$23</f>
        <v>244000</v>
      </c>
      <c r="I44" s="170"/>
      <c r="J44" s="170"/>
      <c r="K44" s="171">
        <f>$C$44-$H$44+$F$44+$O$44</f>
        <v>628402</v>
      </c>
      <c r="L44" s="171"/>
      <c r="M44" s="64">
        <f>SUM($K$44)/D10</f>
        <v>0.83786933333333335</v>
      </c>
      <c r="N44" s="65">
        <f>$G$37</f>
        <v>1782.4148236797341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1:Y124"/>
  <sheetViews>
    <sheetView showGridLines="0" topLeftCell="A7" zoomScaleNormal="100" workbookViewId="0">
      <selection activeCell="O47" sqref="O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SUM('0404'!K44:L44)</f>
        <v>628402</v>
      </c>
      <c r="F10" s="42"/>
      <c r="G10" s="12">
        <f>SUM('0404'!N44)</f>
        <v>1782.4148236797341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83</v>
      </c>
      <c r="L16" s="35">
        <v>30000</v>
      </c>
      <c r="M16" s="102"/>
      <c r="N16" s="91">
        <f>IF(L16="","",($G$10))</f>
        <v>1782.4148236797341</v>
      </c>
      <c r="O16" s="92">
        <f>IF(L16="","",(SUM(M16)-N16))</f>
        <v>-1782.4148236797341</v>
      </c>
      <c r="P16" s="93">
        <f>IF(L16="","",(L16*O16))</f>
        <v>-53472444.710392021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30000</v>
      </c>
      <c r="M23" s="89"/>
      <c r="N23" s="89"/>
      <c r="O23" s="89"/>
      <c r="P23" s="90">
        <f>SUM(P16:P22)</f>
        <v>-53472444.710392021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598402</v>
      </c>
      <c r="D30" s="175"/>
      <c r="E30" s="176">
        <f>$G$10</f>
        <v>1782.4148236797341</v>
      </c>
      <c r="F30" s="176"/>
      <c r="G30" s="175">
        <f>C30*E30</f>
        <v>1066600595.3196002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46102</v>
      </c>
      <c r="S36" s="173"/>
      <c r="T36" s="172">
        <v>46104</v>
      </c>
      <c r="U36" s="173"/>
      <c r="V36" s="172">
        <v>46116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598402</v>
      </c>
      <c r="D37" s="175"/>
      <c r="E37" s="175">
        <f>$G$30+$O$30-K37</f>
        <v>1066600595.3196002</v>
      </c>
      <c r="F37" s="175"/>
      <c r="G37" s="176">
        <f>E37/C37</f>
        <v>1782.4148236797341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69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56000-28000</f>
        <v>28000</v>
      </c>
      <c r="S38" s="120"/>
      <c r="T38" s="120">
        <f>96112-64112-32000</f>
        <v>0</v>
      </c>
      <c r="U38" s="120"/>
      <c r="V38" s="120">
        <v>28062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5" t="s">
        <v>54</v>
      </c>
      <c r="S39" s="125"/>
      <c r="T39" s="121" t="s">
        <v>46</v>
      </c>
      <c r="U39" s="121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628402</v>
      </c>
      <c r="D44" s="168"/>
      <c r="E44" s="63"/>
      <c r="F44" s="169">
        <f>$K$30</f>
        <v>0</v>
      </c>
      <c r="G44" s="170"/>
      <c r="H44" s="170">
        <f>$L$23</f>
        <v>30000</v>
      </c>
      <c r="I44" s="170"/>
      <c r="J44" s="170"/>
      <c r="K44" s="171">
        <f>$C$44-$H$44+$F$44+$O$44</f>
        <v>598402</v>
      </c>
      <c r="L44" s="171"/>
      <c r="M44" s="64">
        <f>SUM($K$44)/D10</f>
        <v>0.79786933333333332</v>
      </c>
      <c r="N44" s="65">
        <f>$G$37</f>
        <v>1782.4148236797341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7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FF00"/>
    <pageSetUpPr fitToPage="1"/>
  </sheetPr>
  <dimension ref="B1:Y124"/>
  <sheetViews>
    <sheetView showGridLines="0" topLeftCell="A16" zoomScaleNormal="100" workbookViewId="0">
      <selection activeCell="M36" sqref="M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SUM('0405'!K44:L44)</f>
        <v>598402</v>
      </c>
      <c r="F10" s="42"/>
      <c r="G10" s="12">
        <f>SUM('0405'!N44)</f>
        <v>1782.4148236797341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598402</v>
      </c>
      <c r="D30" s="175"/>
      <c r="E30" s="176">
        <f>$G$10</f>
        <v>1782.4148236797341</v>
      </c>
      <c r="F30" s="176"/>
      <c r="G30" s="175">
        <f>C30*E30</f>
        <v>1066600595.3196002</v>
      </c>
      <c r="H30" s="201"/>
      <c r="I30" s="16"/>
      <c r="J30" s="47" t="s">
        <v>11</v>
      </c>
      <c r="K30" s="208">
        <v>28000</v>
      </c>
      <c r="L30" s="209"/>
      <c r="M30" s="210">
        <v>1889.0135177380901</v>
      </c>
      <c r="N30" s="211"/>
      <c r="O30" s="175">
        <f>K30*M30</f>
        <v>52892378.496666521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46102</v>
      </c>
      <c r="S36" s="173"/>
      <c r="T36" s="172">
        <v>46104</v>
      </c>
      <c r="U36" s="173"/>
      <c r="V36" s="172">
        <v>46116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626402</v>
      </c>
      <c r="D37" s="175"/>
      <c r="E37" s="175">
        <f>$G$30+$O$30-K37</f>
        <v>1119492973.8162668</v>
      </c>
      <c r="F37" s="175"/>
      <c r="G37" s="176">
        <f>E37/C37</f>
        <v>1787.1797564762992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69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56000-28000-28000</f>
        <v>0</v>
      </c>
      <c r="S38" s="120"/>
      <c r="T38" s="120">
        <f>96112-64112-32000</f>
        <v>0</v>
      </c>
      <c r="U38" s="120"/>
      <c r="V38" s="120">
        <v>28062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5" t="s">
        <v>54</v>
      </c>
      <c r="S39" s="125"/>
      <c r="T39" s="121" t="s">
        <v>46</v>
      </c>
      <c r="U39" s="121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598402</v>
      </c>
      <c r="D44" s="168"/>
      <c r="E44" s="63"/>
      <c r="F44" s="169">
        <f>$K$30</f>
        <v>28000</v>
      </c>
      <c r="G44" s="170"/>
      <c r="H44" s="170">
        <f>$L$23</f>
        <v>0</v>
      </c>
      <c r="I44" s="170"/>
      <c r="J44" s="170"/>
      <c r="K44" s="171">
        <f>$C$44-$H$44+$F$44+$O$44</f>
        <v>626402</v>
      </c>
      <c r="L44" s="171"/>
      <c r="M44" s="64">
        <f>SUM($K$44)/D10</f>
        <v>0.83520266666666665</v>
      </c>
      <c r="N44" s="65">
        <f>$G$37</f>
        <v>1787.1797564762992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1:Y124"/>
  <sheetViews>
    <sheetView showGridLines="0" topLeftCell="A22" zoomScaleNormal="100" workbookViewId="0">
      <selection activeCell="V38" activeCellId="1" sqref="K44:L44 V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SUM('0406 (입고)'!K44:L44)</f>
        <v>626402</v>
      </c>
      <c r="F10" s="42"/>
      <c r="G10" s="12">
        <f>SUM('0406 (입고)'!N44)</f>
        <v>1787.1797564762992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94</v>
      </c>
      <c r="L16" s="35">
        <v>28000</v>
      </c>
      <c r="M16" s="102"/>
      <c r="N16" s="91">
        <f>IF(L16="","",($G$10))</f>
        <v>1787.1797564762992</v>
      </c>
      <c r="O16" s="92">
        <f>IF(L16="","",(SUM(M16)-N16))</f>
        <v>-1787.1797564762992</v>
      </c>
      <c r="P16" s="93">
        <f>IF(L16="","",(L16*O16))</f>
        <v>-50041033.181336381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95</v>
      </c>
      <c r="L17" s="35">
        <v>20000</v>
      </c>
      <c r="M17" s="15"/>
      <c r="N17" s="94">
        <f t="shared" ref="N17:N22" si="3">IF(L17="","",($G$10))</f>
        <v>1787.1797564762992</v>
      </c>
      <c r="O17" s="95">
        <f t="shared" ref="O17:O22" si="4">IF(L17="","",(SUM(M17)-N17))</f>
        <v>-1787.1797564762992</v>
      </c>
      <c r="P17" s="96">
        <f t="shared" ref="P17:P22" si="5">IF(L17="","",(L17*O17))</f>
        <v>-35743595.129525982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84</v>
      </c>
      <c r="L18" s="35">
        <v>8000</v>
      </c>
      <c r="M18" s="15"/>
      <c r="N18" s="94">
        <f t="shared" si="3"/>
        <v>1787.1797564762992</v>
      </c>
      <c r="O18" s="95">
        <f t="shared" si="4"/>
        <v>-1787.1797564762992</v>
      </c>
      <c r="P18" s="96">
        <f t="shared" si="5"/>
        <v>-14297438.051810393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96</v>
      </c>
      <c r="L19" s="35">
        <v>28000</v>
      </c>
      <c r="M19" s="15"/>
      <c r="N19" s="94">
        <f t="shared" si="3"/>
        <v>1787.1797564762992</v>
      </c>
      <c r="O19" s="95">
        <f t="shared" si="4"/>
        <v>-1787.1797564762992</v>
      </c>
      <c r="P19" s="96">
        <f t="shared" si="5"/>
        <v>-50041033.181336381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84000</v>
      </c>
      <c r="M23" s="89"/>
      <c r="N23" s="89"/>
      <c r="O23" s="89"/>
      <c r="P23" s="90">
        <f>SUM(P16:P22)</f>
        <v>-150123099.54400915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542402</v>
      </c>
      <c r="D30" s="175"/>
      <c r="E30" s="176">
        <f>$G$10</f>
        <v>1787.1797564762992</v>
      </c>
      <c r="F30" s="176"/>
      <c r="G30" s="175">
        <f>C30*E30</f>
        <v>969369874.27225769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46102</v>
      </c>
      <c r="S36" s="173"/>
      <c r="T36" s="172">
        <v>46104</v>
      </c>
      <c r="U36" s="173"/>
      <c r="V36" s="172">
        <v>46116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542402</v>
      </c>
      <c r="D37" s="175"/>
      <c r="E37" s="175">
        <f>$G$30+$O$30-K37</f>
        <v>969369874.27225769</v>
      </c>
      <c r="F37" s="175"/>
      <c r="G37" s="176">
        <f>E37/C37</f>
        <v>1787.1797564762992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69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56000-28000-28000</f>
        <v>0</v>
      </c>
      <c r="S38" s="120"/>
      <c r="T38" s="120">
        <f>96112-64112-32000</f>
        <v>0</v>
      </c>
      <c r="U38" s="120"/>
      <c r="V38" s="120">
        <v>28062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5" t="s">
        <v>54</v>
      </c>
      <c r="S39" s="125"/>
      <c r="T39" s="121" t="s">
        <v>46</v>
      </c>
      <c r="U39" s="121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626402</v>
      </c>
      <c r="D44" s="168"/>
      <c r="E44" s="63"/>
      <c r="F44" s="169">
        <f>$K$30</f>
        <v>0</v>
      </c>
      <c r="G44" s="170"/>
      <c r="H44" s="170">
        <f>$L$23</f>
        <v>84000</v>
      </c>
      <c r="I44" s="170"/>
      <c r="J44" s="170"/>
      <c r="K44" s="171">
        <f>$C$44-$H$44+$F$44+$O$44</f>
        <v>542402</v>
      </c>
      <c r="L44" s="171"/>
      <c r="M44" s="64">
        <f>SUM($K$44)/D10</f>
        <v>0.72320266666666666</v>
      </c>
      <c r="N44" s="65">
        <f>$G$37</f>
        <v>1787.1797564762992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  <pageSetUpPr fitToPage="1"/>
  </sheetPr>
  <dimension ref="B1:Y124"/>
  <sheetViews>
    <sheetView showGridLines="0" topLeftCell="A24" zoomScaleNormal="100" workbookViewId="0">
      <selection activeCell="M31" sqref="M3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SUM('0406'!K44:L44)</f>
        <v>542402</v>
      </c>
      <c r="F10" s="42"/>
      <c r="G10" s="12">
        <f>SUM('0406'!N44)</f>
        <v>1787.1797564762992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542402</v>
      </c>
      <c r="D30" s="175"/>
      <c r="E30" s="176">
        <f>$G$10</f>
        <v>1787.1797564762992</v>
      </c>
      <c r="F30" s="176"/>
      <c r="G30" s="175">
        <f>C30*E30</f>
        <v>969369874.27225769</v>
      </c>
      <c r="H30" s="201"/>
      <c r="I30" s="16"/>
      <c r="J30" s="47" t="s">
        <v>11</v>
      </c>
      <c r="K30" s="208">
        <v>28000</v>
      </c>
      <c r="L30" s="209"/>
      <c r="M30" s="210">
        <v>1923</v>
      </c>
      <c r="N30" s="211"/>
      <c r="O30" s="175">
        <f>K30*M30</f>
        <v>53844000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570402</v>
      </c>
      <c r="D37" s="175"/>
      <c r="E37" s="175">
        <f>$G$30+$O$30-K37</f>
        <v>1023213874.2722577</v>
      </c>
      <c r="F37" s="175"/>
      <c r="G37" s="176">
        <f>E37/C37</f>
        <v>1793.8469259789722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28000</v>
      </c>
      <c r="S38" s="120"/>
      <c r="T38" s="120">
        <v>56098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542402</v>
      </c>
      <c r="D44" s="168"/>
      <c r="E44" s="63"/>
      <c r="F44" s="169">
        <f>$K$30</f>
        <v>28000</v>
      </c>
      <c r="G44" s="170"/>
      <c r="H44" s="170">
        <f>$L$23</f>
        <v>0</v>
      </c>
      <c r="I44" s="170"/>
      <c r="J44" s="170"/>
      <c r="K44" s="171">
        <f>$C$44-$H$44+$F$44+$O$44</f>
        <v>570402</v>
      </c>
      <c r="L44" s="171"/>
      <c r="M44" s="64">
        <f>SUM($K$44)/D10</f>
        <v>0.76053599999999999</v>
      </c>
      <c r="N44" s="65">
        <f>$G$37</f>
        <v>1793.8469259789722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1:Y124"/>
  <sheetViews>
    <sheetView showGridLines="0" topLeftCell="A27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SUM('0407 (입고)'!K44:L44)</f>
        <v>570402</v>
      </c>
      <c r="F10" s="42"/>
      <c r="G10" s="12">
        <f>SUM('0407 (입고)'!N44)</f>
        <v>1793.8469259789722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1793.8469259789722</v>
      </c>
      <c r="O16" s="92">
        <f>IF(L16="","",(SUM(M16)-N16))</f>
        <v>-1793.8469259789722</v>
      </c>
      <c r="P16" s="93">
        <f>IF(L16="","",(L16*O16))</f>
        <v>-14350775.407831777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20000</v>
      </c>
      <c r="M17" s="15"/>
      <c r="N17" s="94">
        <f t="shared" ref="N17:N22" si="3">IF(L17="","",($G$10))</f>
        <v>1793.8469259789722</v>
      </c>
      <c r="O17" s="95">
        <f t="shared" ref="O17:O22" si="4">IF(L17="","",(SUM(M17)-N17))</f>
        <v>-1793.8469259789722</v>
      </c>
      <c r="P17" s="96">
        <f t="shared" ref="P17:P22" si="5">IF(L17="","",(L17*O17))</f>
        <v>-35876938.51957944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48</v>
      </c>
      <c r="L18" s="35">
        <v>32000</v>
      </c>
      <c r="M18" s="15"/>
      <c r="N18" s="94">
        <f t="shared" si="3"/>
        <v>1793.8469259789722</v>
      </c>
      <c r="O18" s="95">
        <f t="shared" si="4"/>
        <v>-1793.8469259789722</v>
      </c>
      <c r="P18" s="96">
        <f t="shared" si="5"/>
        <v>-57403101.631327108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97</v>
      </c>
      <c r="L19" s="35">
        <v>28000</v>
      </c>
      <c r="M19" s="15"/>
      <c r="N19" s="94">
        <f t="shared" si="3"/>
        <v>1793.8469259789722</v>
      </c>
      <c r="O19" s="95">
        <f t="shared" si="4"/>
        <v>-1793.8469259789722</v>
      </c>
      <c r="P19" s="96">
        <f t="shared" si="5"/>
        <v>-50227713.927411221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88000</v>
      </c>
      <c r="M23" s="89"/>
      <c r="N23" s="89"/>
      <c r="O23" s="89"/>
      <c r="P23" s="90">
        <f>SUM(P16:P22)</f>
        <v>-157858529.48614955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482402</v>
      </c>
      <c r="D30" s="175"/>
      <c r="E30" s="176">
        <f>$G$10</f>
        <v>1793.8469259789722</v>
      </c>
      <c r="F30" s="176"/>
      <c r="G30" s="175">
        <f>C30*E30</f>
        <v>865355344.78610814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482402</v>
      </c>
      <c r="D37" s="175"/>
      <c r="E37" s="175">
        <f>$G$30+$O$30-K37</f>
        <v>865355344.78610814</v>
      </c>
      <c r="F37" s="175"/>
      <c r="G37" s="176">
        <f>E37/C37</f>
        <v>1793.8469259789722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28062</v>
      </c>
      <c r="S38" s="120"/>
      <c r="T38" s="120">
        <v>56098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570402</v>
      </c>
      <c r="D44" s="168"/>
      <c r="E44" s="63"/>
      <c r="F44" s="169">
        <f>$K$30</f>
        <v>0</v>
      </c>
      <c r="G44" s="170"/>
      <c r="H44" s="170">
        <f>$L$23</f>
        <v>88000</v>
      </c>
      <c r="I44" s="170"/>
      <c r="J44" s="170"/>
      <c r="K44" s="171">
        <f>$C$44-$H$44+$F$44+$O$44</f>
        <v>482402</v>
      </c>
      <c r="L44" s="171"/>
      <c r="M44" s="64">
        <f>SUM($K$44)/D10</f>
        <v>0.6432026666666667</v>
      </c>
      <c r="N44" s="65">
        <f>$G$37</f>
        <v>1793.8469259789722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FF00"/>
    <pageSetUpPr fitToPage="1"/>
  </sheetPr>
  <dimension ref="B1:Y124"/>
  <sheetViews>
    <sheetView showGridLines="0" topLeftCell="A24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SUM('0407'!K44:L44)</f>
        <v>482402</v>
      </c>
      <c r="F10" s="42"/>
      <c r="G10" s="12">
        <f>SUM('0407'!N44)</f>
        <v>1793.8469259789722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482402</v>
      </c>
      <c r="D30" s="175"/>
      <c r="E30" s="176">
        <f>$G$10</f>
        <v>1793.8469259789722</v>
      </c>
      <c r="F30" s="176"/>
      <c r="G30" s="175">
        <f>C30*E30</f>
        <v>865355344.78610814</v>
      </c>
      <c r="H30" s="201"/>
      <c r="I30" s="16"/>
      <c r="J30" s="47" t="s">
        <v>11</v>
      </c>
      <c r="K30" s="208">
        <v>28048</v>
      </c>
      <c r="L30" s="209"/>
      <c r="M30" s="210">
        <v>1889.0135177380901</v>
      </c>
      <c r="N30" s="211"/>
      <c r="O30" s="175">
        <f>K30*M30</f>
        <v>52983051.145517953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510450</v>
      </c>
      <c r="D37" s="175"/>
      <c r="E37" s="175">
        <f>$G$30+$O$30-K37</f>
        <v>918338395.93162608</v>
      </c>
      <c r="F37" s="175"/>
      <c r="G37" s="176">
        <f>E37/C37</f>
        <v>1799.0761013451388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28000</v>
      </c>
      <c r="S38" s="120"/>
      <c r="T38" s="120">
        <v>56098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482402</v>
      </c>
      <c r="D44" s="168"/>
      <c r="E44" s="63"/>
      <c r="F44" s="169">
        <f>$K$30</f>
        <v>28048</v>
      </c>
      <c r="G44" s="170"/>
      <c r="H44" s="170">
        <f>$L$23</f>
        <v>0</v>
      </c>
      <c r="I44" s="170"/>
      <c r="J44" s="170"/>
      <c r="K44" s="171">
        <f>$C$44-$H$44+$F$44+$O$44</f>
        <v>510450</v>
      </c>
      <c r="L44" s="171"/>
      <c r="M44" s="64">
        <f>SUM($K$44)/D10</f>
        <v>0.68059999999999998</v>
      </c>
      <c r="N44" s="65">
        <f>$G$37</f>
        <v>1799.0761013451388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B1:Y124"/>
  <sheetViews>
    <sheetView showGridLines="0" topLeftCell="A27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SUM('0408 (입고)'!K44:L44)</f>
        <v>510450</v>
      </c>
      <c r="F10" s="42"/>
      <c r="G10" s="12">
        <f>SUM('0408 (입고)'!N44)</f>
        <v>1799.0761013451388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98</v>
      </c>
      <c r="L16" s="35">
        <v>28048</v>
      </c>
      <c r="M16" s="102"/>
      <c r="N16" s="91">
        <f>IF(L16="","",($G$10))</f>
        <v>1799.0761013451388</v>
      </c>
      <c r="O16" s="92">
        <f>IF(L16="","",(SUM(M16)-N16))</f>
        <v>-1799.0761013451388</v>
      </c>
      <c r="P16" s="93">
        <f>IF(L16="","",(L16*O16))</f>
        <v>-50460486.490528449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28048</v>
      </c>
      <c r="M23" s="89"/>
      <c r="N23" s="89"/>
      <c r="O23" s="89"/>
      <c r="P23" s="90">
        <f>SUM(P16:P22)</f>
        <v>-50460486.490528449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482402</v>
      </c>
      <c r="D30" s="175"/>
      <c r="E30" s="176">
        <f>$G$10</f>
        <v>1799.0761013451388</v>
      </c>
      <c r="F30" s="176"/>
      <c r="G30" s="175">
        <f>C30*E30</f>
        <v>867877909.44109762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482402</v>
      </c>
      <c r="D37" s="175"/>
      <c r="E37" s="175">
        <f>$G$30+$O$30-K37</f>
        <v>867877909.44109762</v>
      </c>
      <c r="F37" s="175"/>
      <c r="G37" s="176">
        <f>E37/C37</f>
        <v>1799.0761013451388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28062</v>
      </c>
      <c r="S38" s="120"/>
      <c r="T38" s="120">
        <v>56098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510450</v>
      </c>
      <c r="D44" s="168"/>
      <c r="E44" s="63"/>
      <c r="F44" s="169">
        <f>$K$30</f>
        <v>0</v>
      </c>
      <c r="G44" s="170"/>
      <c r="H44" s="170">
        <f>$L$23</f>
        <v>28048</v>
      </c>
      <c r="I44" s="170"/>
      <c r="J44" s="170"/>
      <c r="K44" s="171">
        <f>$C$44-$H$44+$F$44+$O$44</f>
        <v>482402</v>
      </c>
      <c r="L44" s="171"/>
      <c r="M44" s="64">
        <f>SUM($K$44)/D10</f>
        <v>0.6432026666666667</v>
      </c>
      <c r="N44" s="65">
        <f>$G$37</f>
        <v>1799.0761013451388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C000"/>
    <pageSetUpPr fitToPage="1"/>
  </sheetPr>
  <dimension ref="B1:Y124"/>
  <sheetViews>
    <sheetView showGridLines="0" topLeftCell="A23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SUM('0408'!K44:L44)</f>
        <v>482402</v>
      </c>
      <c r="F10" s="42"/>
      <c r="G10" s="12">
        <f>SUM('0408'!N44)</f>
        <v>1799.0761013451388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48</v>
      </c>
      <c r="L16" s="35">
        <v>28000</v>
      </c>
      <c r="M16" s="102"/>
      <c r="N16" s="91">
        <f>IF(L16="","",($G$10))</f>
        <v>1799.0761013451388</v>
      </c>
      <c r="O16" s="92">
        <f>IF(L16="","",(SUM(M16)-N16))</f>
        <v>-1799.0761013451388</v>
      </c>
      <c r="P16" s="93">
        <f>IF(L16="","",(L16*O16))</f>
        <v>-50374130.837663889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63</v>
      </c>
      <c r="L17" s="35">
        <v>32000</v>
      </c>
      <c r="M17" s="15"/>
      <c r="N17" s="94">
        <f t="shared" ref="N17:N22" si="3">IF(L17="","",($G$10))</f>
        <v>1799.0761013451388</v>
      </c>
      <c r="O17" s="95">
        <f t="shared" ref="O17:O22" si="4">IF(L17="","",(SUM(M17)-N17))</f>
        <v>-1799.0761013451388</v>
      </c>
      <c r="P17" s="96">
        <f t="shared" ref="P17:P22" si="5">IF(L17="","",(L17*O17))</f>
        <v>-57570435.243044443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-107944566.08070832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422402</v>
      </c>
      <c r="D30" s="175"/>
      <c r="E30" s="176">
        <f>$G$10</f>
        <v>1799.0761013451388</v>
      </c>
      <c r="F30" s="176"/>
      <c r="G30" s="175">
        <f>C30*E30</f>
        <v>759933343.36038935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422402</v>
      </c>
      <c r="D37" s="175"/>
      <c r="E37" s="175">
        <f>$G$30+$O$30-K37</f>
        <v>759933343.36038935</v>
      </c>
      <c r="F37" s="175"/>
      <c r="G37" s="176">
        <f>E37/C37</f>
        <v>1799.0761013451388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28062</v>
      </c>
      <c r="S38" s="120"/>
      <c r="T38" s="120">
        <v>56098</v>
      </c>
      <c r="U38" s="120"/>
      <c r="V38" s="120">
        <v>56110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 t="s">
        <v>54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482402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422402</v>
      </c>
      <c r="L44" s="171"/>
      <c r="M44" s="64">
        <f>SUM($K$44)/D10</f>
        <v>0.56320266666666663</v>
      </c>
      <c r="N44" s="65">
        <f>$G$37</f>
        <v>1799.0761013451388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B1:Y124"/>
  <sheetViews>
    <sheetView showGridLines="0" topLeftCell="A25" zoomScaleNormal="100" workbookViewId="0">
      <selection activeCell="Q43" sqref="Q43:T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SUM('0409'!K44:L44)</f>
        <v>422402</v>
      </c>
      <c r="F10" s="42"/>
      <c r="G10" s="12">
        <f>SUM('0409'!N44)</f>
        <v>1799.0761013451388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68</v>
      </c>
      <c r="L16" s="35">
        <v>12000</v>
      </c>
      <c r="M16" s="102"/>
      <c r="N16" s="91">
        <f>IF(L16="","",($G$10))</f>
        <v>1799.0761013451388</v>
      </c>
      <c r="O16" s="92">
        <f>IF(L16="","",(SUM(M16)-N16))</f>
        <v>-1799.0761013451388</v>
      </c>
      <c r="P16" s="93">
        <f>IF(L16="","",(L16*O16))</f>
        <v>-21588913.216141667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63</v>
      </c>
      <c r="L17" s="35">
        <v>20000</v>
      </c>
      <c r="M17" s="15"/>
      <c r="N17" s="94">
        <f t="shared" ref="N17:N22" si="3">IF(L17="","",($G$10))</f>
        <v>1799.0761013451388</v>
      </c>
      <c r="O17" s="95">
        <f t="shared" ref="O17:O22" si="4">IF(L17="","",(SUM(M17)-N17))</f>
        <v>-1799.0761013451388</v>
      </c>
      <c r="P17" s="96">
        <f t="shared" ref="P17:P22" si="5">IF(L17="","",(L17*O17))</f>
        <v>-35981522.026902772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-57570435.243044436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390402</v>
      </c>
      <c r="D30" s="175"/>
      <c r="E30" s="176">
        <f>$G$10</f>
        <v>1799.0761013451388</v>
      </c>
      <c r="F30" s="176"/>
      <c r="G30" s="175">
        <f>C30*E30</f>
        <v>702362908.11734486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390402</v>
      </c>
      <c r="D37" s="175"/>
      <c r="E37" s="175">
        <f>$G$30+$O$30-K37</f>
        <v>702362908.11734486</v>
      </c>
      <c r="F37" s="175"/>
      <c r="G37" s="176">
        <f>E37/C37</f>
        <v>1799.0761013451388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28062</v>
      </c>
      <c r="S38" s="120"/>
      <c r="T38" s="120">
        <v>56098</v>
      </c>
      <c r="U38" s="120"/>
      <c r="V38" s="120">
        <v>56110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 t="s">
        <v>54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422402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390402</v>
      </c>
      <c r="L44" s="171"/>
      <c r="M44" s="64">
        <f>SUM($K$44)/D10</f>
        <v>0.520536</v>
      </c>
      <c r="N44" s="65">
        <f>$G$37</f>
        <v>1799.0761013451388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7"/>
      <c r="R49" s="132"/>
      <c r="S49" s="122"/>
      <c r="T49" s="131"/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B1:Y124"/>
  <sheetViews>
    <sheetView showGridLines="0" topLeftCell="A24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SUM('0414'!K44:L44)</f>
        <v>390402</v>
      </c>
      <c r="F10" s="42"/>
      <c r="G10" s="12">
        <f>SUM('0414'!N44)</f>
        <v>1799.0761013451388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390402</v>
      </c>
      <c r="D30" s="175"/>
      <c r="E30" s="176">
        <f>$G$10</f>
        <v>1799.0761013451388</v>
      </c>
      <c r="F30" s="176"/>
      <c r="G30" s="175">
        <f>C30*E30</f>
        <v>702362908.11734486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390402</v>
      </c>
      <c r="D37" s="175"/>
      <c r="E37" s="175">
        <f>$G$30+$O$30-K37</f>
        <v>702362908.11734486</v>
      </c>
      <c r="F37" s="175"/>
      <c r="G37" s="176">
        <f>E37/C37</f>
        <v>1799.0761013451388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28062-28000</f>
        <v>62</v>
      </c>
      <c r="S38" s="120"/>
      <c r="T38" s="120">
        <v>56098</v>
      </c>
      <c r="U38" s="120"/>
      <c r="V38" s="120">
        <v>56110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 t="s">
        <v>54</v>
      </c>
      <c r="U39" s="121"/>
      <c r="V39" s="121" t="s">
        <v>54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390402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390402</v>
      </c>
      <c r="L44" s="171"/>
      <c r="M44" s="64">
        <f>SUM($K$44)/D10</f>
        <v>0.520536</v>
      </c>
      <c r="N44" s="65">
        <f>$G$37</f>
        <v>1799.0761013451388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7"/>
      <c r="R50" s="132"/>
      <c r="S50" s="122"/>
      <c r="T50" s="131"/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1:Y124"/>
  <sheetViews>
    <sheetView showGridLines="0" topLeftCell="A19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SUM('0415'!K44:L44)</f>
        <v>390402</v>
      </c>
      <c r="F10" s="42"/>
      <c r="G10" s="12">
        <f>SUM('0415'!N44)</f>
        <v>1799.0761013451388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1799.0761013451388</v>
      </c>
      <c r="O16" s="92">
        <f>IF(L16="","",(SUM(M16)-N16))</f>
        <v>-1799.0761013451388</v>
      </c>
      <c r="P16" s="93">
        <f>IF(L16="","",(L16*O16))</f>
        <v>-14392608.810761111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48</v>
      </c>
      <c r="L17" s="35">
        <v>20000</v>
      </c>
      <c r="M17" s="15"/>
      <c r="N17" s="94">
        <f t="shared" ref="N17:N22" si="3">IF(L17="","",($G$10))</f>
        <v>1799.0761013451388</v>
      </c>
      <c r="O17" s="95">
        <f t="shared" ref="O17:O22" si="4">IF(L17="","",(SUM(M17)-N17))</f>
        <v>-1799.0761013451388</v>
      </c>
      <c r="P17" s="96">
        <f t="shared" ref="P17:P22" si="5">IF(L17="","",(L17*O17))</f>
        <v>-35981522.026902772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99</v>
      </c>
      <c r="L18" s="35">
        <v>12000</v>
      </c>
      <c r="M18" s="15"/>
      <c r="N18" s="94">
        <f t="shared" si="3"/>
        <v>1799.0761013451388</v>
      </c>
      <c r="O18" s="95">
        <f t="shared" si="4"/>
        <v>-1799.0761013451388</v>
      </c>
      <c r="P18" s="96">
        <f t="shared" si="5"/>
        <v>-21588913.216141667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40000</v>
      </c>
      <c r="M23" s="89"/>
      <c r="N23" s="89"/>
      <c r="O23" s="89"/>
      <c r="P23" s="90">
        <f>SUM(P16:P22)</f>
        <v>-71963044.053805545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350402</v>
      </c>
      <c r="D30" s="175"/>
      <c r="E30" s="176">
        <f>$G$10</f>
        <v>1799.0761013451388</v>
      </c>
      <c r="F30" s="176"/>
      <c r="G30" s="175">
        <f>C30*E30</f>
        <v>630399864.06353927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350402</v>
      </c>
      <c r="D37" s="175"/>
      <c r="E37" s="175">
        <f>$G$30+$O$30-K37</f>
        <v>630399864.06353927</v>
      </c>
      <c r="F37" s="175"/>
      <c r="G37" s="176">
        <f>E37/C37</f>
        <v>1799.0761013451386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28062-28000</f>
        <v>62</v>
      </c>
      <c r="S38" s="120"/>
      <c r="T38" s="120">
        <v>56098</v>
      </c>
      <c r="U38" s="120"/>
      <c r="V38" s="120">
        <v>56110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 t="s">
        <v>54</v>
      </c>
      <c r="U39" s="121"/>
      <c r="V39" s="121" t="s">
        <v>54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390402</v>
      </c>
      <c r="D44" s="168"/>
      <c r="E44" s="63"/>
      <c r="F44" s="169">
        <f>$K$30</f>
        <v>0</v>
      </c>
      <c r="G44" s="170"/>
      <c r="H44" s="170">
        <f>$L$23</f>
        <v>40000</v>
      </c>
      <c r="I44" s="170"/>
      <c r="J44" s="170"/>
      <c r="K44" s="171">
        <f>$C$44-$H$44+$F$44+$O$44</f>
        <v>350402</v>
      </c>
      <c r="L44" s="171"/>
      <c r="M44" s="64">
        <f>SUM($K$44)/D10</f>
        <v>0.46720266666666666</v>
      </c>
      <c r="N44" s="65">
        <f>$G$37</f>
        <v>1799.0761013451386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7"/>
      <c r="R51" s="132"/>
      <c r="S51" s="122"/>
      <c r="T51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B1:Y124"/>
  <sheetViews>
    <sheetView showGridLines="0" topLeftCell="A27" zoomScaleNormal="100" workbookViewId="0">
      <selection activeCell="T38" sqref="T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SUM('0416'!K44:L44)</f>
        <v>350402</v>
      </c>
      <c r="F10" s="42"/>
      <c r="G10" s="12">
        <f>SUM('0416'!N44)</f>
        <v>1799.0761013451386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48</v>
      </c>
      <c r="L16" s="35">
        <v>32000</v>
      </c>
      <c r="M16" s="102"/>
      <c r="N16" s="91">
        <f>IF(L16="","",($G$10))</f>
        <v>1799.0761013451386</v>
      </c>
      <c r="O16" s="92">
        <f>IF(L16="","",(SUM(M16)-N16))</f>
        <v>-1799.0761013451386</v>
      </c>
      <c r="P16" s="93">
        <f>IF(L16="","",(L16*O16))</f>
        <v>-57570435.243044436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12000</v>
      </c>
      <c r="M17" s="15"/>
      <c r="N17" s="94">
        <f t="shared" ref="N17:N22" si="3">IF(L17="","",($G$10))</f>
        <v>1799.0761013451386</v>
      </c>
      <c r="O17" s="95">
        <f t="shared" ref="O17:O22" si="4">IF(L17="","",(SUM(M17)-N17))</f>
        <v>-1799.0761013451386</v>
      </c>
      <c r="P17" s="96">
        <f t="shared" ref="P17:P22" si="5">IF(L17="","",(L17*O17))</f>
        <v>-21588913.216141663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63</v>
      </c>
      <c r="L18" s="35">
        <v>16000</v>
      </c>
      <c r="M18" s="15"/>
      <c r="N18" s="94">
        <f t="shared" si="3"/>
        <v>1799.0761013451386</v>
      </c>
      <c r="O18" s="95">
        <f t="shared" si="4"/>
        <v>-1799.0761013451386</v>
      </c>
      <c r="P18" s="96">
        <f t="shared" si="5"/>
        <v>-28785217.621522218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-107944566.08070832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290402</v>
      </c>
      <c r="D30" s="175"/>
      <c r="E30" s="176">
        <f>$G$10</f>
        <v>1799.0761013451386</v>
      </c>
      <c r="F30" s="176"/>
      <c r="G30" s="175">
        <f>C30*E30</f>
        <v>522455297.98283094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290402</v>
      </c>
      <c r="D37" s="175"/>
      <c r="E37" s="175">
        <f>$G$30+$O$30-K37</f>
        <v>522455297.98283094</v>
      </c>
      <c r="F37" s="175"/>
      <c r="G37" s="176">
        <f>E37/C37</f>
        <v>1799.0761013451386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28062-28000</f>
        <v>62</v>
      </c>
      <c r="S38" s="120"/>
      <c r="T38" s="120">
        <v>98</v>
      </c>
      <c r="U38" s="120"/>
      <c r="V38" s="120">
        <v>56110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 t="s">
        <v>54</v>
      </c>
      <c r="U39" s="121"/>
      <c r="V39" s="121" t="s">
        <v>54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350402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290402</v>
      </c>
      <c r="L44" s="171"/>
      <c r="M44" s="64">
        <f>SUM($K$44)/D10</f>
        <v>0.38720266666666664</v>
      </c>
      <c r="N44" s="65">
        <f>$G$37</f>
        <v>1799.0761013451386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FF00"/>
    <pageSetUpPr fitToPage="1"/>
  </sheetPr>
  <dimension ref="B1:Y124"/>
  <sheetViews>
    <sheetView showGridLines="0" topLeftCell="A22" zoomScaleNormal="100" workbookViewId="0">
      <selection activeCell="P45" sqref="P44:P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SUM('0417'!K44:L44)</f>
        <v>290402</v>
      </c>
      <c r="F10" s="42"/>
      <c r="G10" s="12">
        <f>SUM('0417'!N44)</f>
        <v>1799.0761013451386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290402</v>
      </c>
      <c r="D30" s="175"/>
      <c r="E30" s="176">
        <f>$G$10</f>
        <v>1799.0761013451386</v>
      </c>
      <c r="F30" s="176"/>
      <c r="G30" s="175">
        <f>C30*E30</f>
        <v>522455297.98283094</v>
      </c>
      <c r="H30" s="201"/>
      <c r="I30" s="16"/>
      <c r="J30" s="47" t="s">
        <v>11</v>
      </c>
      <c r="K30" s="208">
        <v>95929</v>
      </c>
      <c r="L30" s="209"/>
      <c r="M30" s="210">
        <v>1923</v>
      </c>
      <c r="N30" s="211"/>
      <c r="O30" s="175">
        <f>K30*M30</f>
        <v>184471467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386331</v>
      </c>
      <c r="D37" s="175"/>
      <c r="E37" s="175">
        <f>$G$30+$O$30-K37</f>
        <v>706926764.982831</v>
      </c>
      <c r="F37" s="175"/>
      <c r="G37" s="176">
        <f>E37/C37</f>
        <v>1829.8473717688485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28062-28000</f>
        <v>62</v>
      </c>
      <c r="S38" s="120"/>
      <c r="T38" s="120">
        <v>98</v>
      </c>
      <c r="U38" s="120"/>
      <c r="V38" s="120">
        <f>56110-28000-57</f>
        <v>28053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 t="s">
        <v>54</v>
      </c>
      <c r="U39" s="121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290402</v>
      </c>
      <c r="D44" s="168"/>
      <c r="E44" s="63"/>
      <c r="F44" s="169">
        <f>$K$30</f>
        <v>95929</v>
      </c>
      <c r="G44" s="170"/>
      <c r="H44" s="170">
        <f>$L$23</f>
        <v>0</v>
      </c>
      <c r="I44" s="170"/>
      <c r="J44" s="170"/>
      <c r="K44" s="171">
        <f>$C$44-$H$44+$F$44+$O$44</f>
        <v>386331</v>
      </c>
      <c r="L44" s="171"/>
      <c r="M44" s="64">
        <f>SUM($K$44)/D10</f>
        <v>0.51510800000000001</v>
      </c>
      <c r="N44" s="65">
        <f>$G$37</f>
        <v>1829.8473717688485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FF00"/>
    <pageSetUpPr fitToPage="1"/>
  </sheetPr>
  <dimension ref="B1:Y124"/>
  <sheetViews>
    <sheetView showGridLines="0" topLeftCell="A22" zoomScaleNormal="100" workbookViewId="0">
      <selection activeCell="M33" sqref="M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SUM('0421 (입고)'!K44:L44)</f>
        <v>386331</v>
      </c>
      <c r="F10" s="42"/>
      <c r="G10" s="12">
        <f>SUM('0421 (입고)'!N44)</f>
        <v>1829.8473717688485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386331</v>
      </c>
      <c r="D30" s="175"/>
      <c r="E30" s="176">
        <f>$G$10</f>
        <v>1829.8473717688485</v>
      </c>
      <c r="F30" s="176"/>
      <c r="G30" s="175">
        <f>C30*E30</f>
        <v>706926764.982831</v>
      </c>
      <c r="H30" s="201"/>
      <c r="I30" s="16"/>
      <c r="J30" s="47" t="s">
        <v>11</v>
      </c>
      <c r="K30" s="208">
        <v>64000</v>
      </c>
      <c r="L30" s="209"/>
      <c r="M30" s="210">
        <v>1906.0067588690499</v>
      </c>
      <c r="N30" s="211"/>
      <c r="O30" s="175">
        <f>K30*M30</f>
        <v>121984432.56761919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46116</v>
      </c>
      <c r="S36" s="173"/>
      <c r="T36" s="172">
        <v>46119</v>
      </c>
      <c r="U36" s="173"/>
      <c r="V36" s="172">
        <v>46121</v>
      </c>
      <c r="W36" s="173"/>
      <c r="X36" s="172"/>
      <c r="Y36" s="173"/>
    </row>
    <row r="37" spans="2:25" ht="24" customHeight="1">
      <c r="B37" s="47" t="s">
        <v>11</v>
      </c>
      <c r="C37" s="174">
        <f>$C$30+$K$30</f>
        <v>450331</v>
      </c>
      <c r="D37" s="175"/>
      <c r="E37" s="175">
        <f>$G$30+$O$30-K37</f>
        <v>828911197.55045021</v>
      </c>
      <c r="F37" s="175"/>
      <c r="G37" s="176">
        <f>E37/C37</f>
        <v>1840.6709676892112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 t="s">
        <v>45</v>
      </c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28062-28000</f>
        <v>62</v>
      </c>
      <c r="S38" s="120"/>
      <c r="T38" s="120">
        <v>98</v>
      </c>
      <c r="U38" s="120"/>
      <c r="V38" s="120">
        <f>56110-28000-57</f>
        <v>28053</v>
      </c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 t="s">
        <v>54</v>
      </c>
      <c r="U39" s="121"/>
      <c r="V39" s="121" t="s">
        <v>46</v>
      </c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386331</v>
      </c>
      <c r="D44" s="168"/>
      <c r="E44" s="63"/>
      <c r="F44" s="169">
        <f>$K$30</f>
        <v>64000</v>
      </c>
      <c r="G44" s="170"/>
      <c r="H44" s="170">
        <f>$L$23</f>
        <v>0</v>
      </c>
      <c r="I44" s="170"/>
      <c r="J44" s="170"/>
      <c r="K44" s="171">
        <f>$C$44-$H$44+$F$44+$O$44</f>
        <v>450331</v>
      </c>
      <c r="L44" s="171"/>
      <c r="M44" s="64">
        <f>SUM($K$44)/D10</f>
        <v>0.60044133333333338</v>
      </c>
      <c r="N44" s="65">
        <f>$G$37</f>
        <v>1840.6709676892112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C000"/>
    <pageSetUpPr fitToPage="1"/>
  </sheetPr>
  <dimension ref="B1:Y124"/>
  <sheetViews>
    <sheetView showGridLines="0" topLeftCell="A31" zoomScaleNormal="100" workbookViewId="0">
      <selection activeCell="P51" sqref="P5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SUM('0422 (입고)'!K44:L44)</f>
        <v>450331</v>
      </c>
      <c r="F10" s="42"/>
      <c r="G10" s="12">
        <f>SUM('0422 (입고)'!N44)</f>
        <v>1840.6709676892112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450331</v>
      </c>
      <c r="D30" s="175"/>
      <c r="E30" s="176">
        <f>$G$10</f>
        <v>1840.6709676892112</v>
      </c>
      <c r="F30" s="176"/>
      <c r="G30" s="175">
        <f>C30*E30</f>
        <v>828911197.55045021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450331</v>
      </c>
      <c r="D37" s="175"/>
      <c r="E37" s="175">
        <f>$G$30+$O$30-K37</f>
        <v>828911197.55045021</v>
      </c>
      <c r="F37" s="175"/>
      <c r="G37" s="176">
        <f>E37/C37</f>
        <v>1840.6709676892112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450331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450491</v>
      </c>
      <c r="L44" s="171"/>
      <c r="M44" s="64">
        <f>SUM($K$44)/D10</f>
        <v>0.60065466666666667</v>
      </c>
      <c r="N44" s="65">
        <f>$G$37</f>
        <v>1840.6709676892112</v>
      </c>
      <c r="O44" s="101">
        <v>160</v>
      </c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B1:Y124"/>
  <sheetViews>
    <sheetView showGridLines="0" topLeftCell="A31" zoomScaleNormal="100" workbookViewId="0">
      <selection activeCell="T38" activeCellId="1" sqref="K44:L44 R38:T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SUM('0423'!K44:L44)</f>
        <v>450491</v>
      </c>
      <c r="F10" s="42"/>
      <c r="G10" s="12">
        <f>SUM('0423'!N44)</f>
        <v>1840.6709676892112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1840.6709676892112</v>
      </c>
      <c r="O16" s="92">
        <f>IF(L16="","",(SUM(M16)-N16))</f>
        <v>-1840.6709676892112</v>
      </c>
      <c r="P16" s="93">
        <f>IF(L16="","",(L16*O16))</f>
        <v>-14725367.74151369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81</v>
      </c>
      <c r="L17" s="35">
        <v>32000</v>
      </c>
      <c r="M17" s="15"/>
      <c r="N17" s="94">
        <f t="shared" ref="N17:N22" si="3">IF(L17="","",($G$10))</f>
        <v>1840.6709676892112</v>
      </c>
      <c r="O17" s="95">
        <f t="shared" ref="O17:O22" si="4">IF(L17="","",(SUM(M17)-N17))</f>
        <v>-1840.6709676892112</v>
      </c>
      <c r="P17" s="96">
        <f t="shared" ref="P17:P22" si="5">IF(L17="","",(L17*O17))</f>
        <v>-58901470.96605476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40000</v>
      </c>
      <c r="M23" s="89"/>
      <c r="N23" s="89"/>
      <c r="O23" s="89"/>
      <c r="P23" s="90">
        <f>SUM(P16:P22)</f>
        <v>-73626838.707568452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410491</v>
      </c>
      <c r="D30" s="175"/>
      <c r="E30" s="176">
        <f>$G$10</f>
        <v>1840.6709676892112</v>
      </c>
      <c r="F30" s="176"/>
      <c r="G30" s="175">
        <f>C30*E30</f>
        <v>755578866.19771206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410491</v>
      </c>
      <c r="D37" s="175"/>
      <c r="E37" s="175">
        <f>$G$30+$O$30-K37</f>
        <v>755578866.19771206</v>
      </c>
      <c r="F37" s="175"/>
      <c r="G37" s="176">
        <f>E37/C37</f>
        <v>1840.6709676892115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450491</v>
      </c>
      <c r="D44" s="168"/>
      <c r="E44" s="63"/>
      <c r="F44" s="169">
        <f>$K$30</f>
        <v>0</v>
      </c>
      <c r="G44" s="170"/>
      <c r="H44" s="170">
        <f>$L$23</f>
        <v>40000</v>
      </c>
      <c r="I44" s="170"/>
      <c r="J44" s="170"/>
      <c r="K44" s="171">
        <f>$C$44-$H$44+$F$44+$O$44</f>
        <v>410491</v>
      </c>
      <c r="L44" s="171"/>
      <c r="M44" s="64">
        <f>SUM($K$44)/D10</f>
        <v>0.54732133333333333</v>
      </c>
      <c r="N44" s="65">
        <f>$G$37</f>
        <v>1840.6709676892115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B1:Y124"/>
  <sheetViews>
    <sheetView showGridLines="0" topLeftCell="A21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SUM('0424'!K44:L44)</f>
        <v>410491</v>
      </c>
      <c r="F10" s="42"/>
      <c r="G10" s="12">
        <f>SUM('0424'!N44)</f>
        <v>1840.6709676892115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73</v>
      </c>
      <c r="L16" s="35">
        <v>12000</v>
      </c>
      <c r="M16" s="102"/>
      <c r="N16" s="91">
        <f>IF(L16="","",($G$10))</f>
        <v>1840.6709676892115</v>
      </c>
      <c r="O16" s="92">
        <f>IF(L16="","",(SUM(M16)-N16))</f>
        <v>-1840.6709676892115</v>
      </c>
      <c r="P16" s="93">
        <f>IF(L16="","",(L16*O16))</f>
        <v>-22088051.612270538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100</v>
      </c>
      <c r="L17" s="35">
        <v>16000</v>
      </c>
      <c r="M17" s="15"/>
      <c r="N17" s="94">
        <f t="shared" ref="N17:N22" si="3">IF(L17="","",($G$10))</f>
        <v>1840.6709676892115</v>
      </c>
      <c r="O17" s="95">
        <f t="shared" ref="O17:O22" si="4">IF(L17="","",(SUM(M17)-N17))</f>
        <v>-1840.6709676892115</v>
      </c>
      <c r="P17" s="96">
        <f t="shared" ref="P17:P22" si="5">IF(L17="","",(L17*O17))</f>
        <v>-29450735.483027384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48</v>
      </c>
      <c r="L18" s="35">
        <v>32000</v>
      </c>
      <c r="M18" s="15"/>
      <c r="N18" s="94">
        <f t="shared" si="3"/>
        <v>1840.6709676892115</v>
      </c>
      <c r="O18" s="95">
        <f t="shared" si="4"/>
        <v>-1840.6709676892115</v>
      </c>
      <c r="P18" s="96">
        <f t="shared" si="5"/>
        <v>-58901470.966054767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67</v>
      </c>
      <c r="L19" s="35">
        <v>32000</v>
      </c>
      <c r="M19" s="15"/>
      <c r="N19" s="94">
        <f t="shared" si="3"/>
        <v>1840.6709676892115</v>
      </c>
      <c r="O19" s="95">
        <f t="shared" si="4"/>
        <v>-1840.6709676892115</v>
      </c>
      <c r="P19" s="96">
        <f t="shared" si="5"/>
        <v>-58901470.966054767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92000</v>
      </c>
      <c r="M23" s="89"/>
      <c r="N23" s="89"/>
      <c r="O23" s="89"/>
      <c r="P23" s="90">
        <f>SUM(P16:P22)</f>
        <v>-169341729.02740747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318491</v>
      </c>
      <c r="D30" s="175"/>
      <c r="E30" s="176">
        <f>$G$10</f>
        <v>1840.6709676892115</v>
      </c>
      <c r="F30" s="176"/>
      <c r="G30" s="175">
        <f>C30*E30</f>
        <v>586237137.17030466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318491</v>
      </c>
      <c r="D37" s="175"/>
      <c r="E37" s="175">
        <f>$G$30+$O$30-K37</f>
        <v>586237137.17030466</v>
      </c>
      <c r="F37" s="175"/>
      <c r="G37" s="176">
        <f>E37/C37</f>
        <v>1840.6709676892115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410491</v>
      </c>
      <c r="D44" s="168"/>
      <c r="E44" s="63"/>
      <c r="F44" s="169">
        <f>$K$30</f>
        <v>0</v>
      </c>
      <c r="G44" s="170"/>
      <c r="H44" s="170">
        <f>$L$23</f>
        <v>92000</v>
      </c>
      <c r="I44" s="170"/>
      <c r="J44" s="170"/>
      <c r="K44" s="171">
        <f>$C$44-$H$44+$F$44+$O$44</f>
        <v>318491</v>
      </c>
      <c r="L44" s="171"/>
      <c r="M44" s="64">
        <f>SUM($K$44)/D10</f>
        <v>0.42465466666666668</v>
      </c>
      <c r="N44" s="65">
        <f>$G$37</f>
        <v>1840.6709676892115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B1:Y124"/>
  <sheetViews>
    <sheetView showGridLines="0" zoomScaleNormal="100" workbookViewId="0">
      <selection activeCell="R16" sqref="R1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SUM('0428'!K44:L44)</f>
        <v>318491</v>
      </c>
      <c r="F10" s="42"/>
      <c r="G10" s="12">
        <f>SUM('0428'!N44)</f>
        <v>1840.6709676892115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63</v>
      </c>
      <c r="L16" s="35">
        <v>28000</v>
      </c>
      <c r="M16" s="102"/>
      <c r="N16" s="91">
        <f>IF(L16="","",($G$10))</f>
        <v>1840.6709676892115</v>
      </c>
      <c r="O16" s="92">
        <f>IF(L16="","",(SUM(M16)-N16))</f>
        <v>-1840.6709676892115</v>
      </c>
      <c r="P16" s="93">
        <f>IF(L16="","",(L16*O16))</f>
        <v>-51538787.095297918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-51538787.095297918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290491</v>
      </c>
      <c r="D30" s="175"/>
      <c r="E30" s="176">
        <f>$G$10</f>
        <v>1840.6709676892115</v>
      </c>
      <c r="F30" s="176"/>
      <c r="G30" s="175">
        <f>C30*E30</f>
        <v>534698350.07500672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290491</v>
      </c>
      <c r="D37" s="175"/>
      <c r="E37" s="175">
        <f>$G$30+$O$30-K37</f>
        <v>534698350.07500672</v>
      </c>
      <c r="F37" s="175"/>
      <c r="G37" s="176">
        <f>E37/C37</f>
        <v>1840.6709676892115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318491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290491</v>
      </c>
      <c r="L44" s="171"/>
      <c r="M44" s="64">
        <f>SUM($K$44)/D10</f>
        <v>0.38732133333333335</v>
      </c>
      <c r="N44" s="65">
        <f>$G$37</f>
        <v>1840.6709676892115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46118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FFFF00"/>
    <pageSetUpPr fitToPage="1"/>
  </sheetPr>
  <dimension ref="B1:Y124"/>
  <sheetViews>
    <sheetView showGridLines="0" topLeftCell="A28" zoomScaleNormal="100" workbookViewId="0">
      <selection activeCell="K35" sqref="K35:M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2" width="10" style="2" customWidth="1"/>
    <col min="13" max="13" width="10.3320312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SUM('0430'!K44:L44)</f>
        <v>290491</v>
      </c>
      <c r="F10" s="42"/>
      <c r="G10" s="12">
        <f>SUM('0430'!N44)</f>
        <v>1840.6709676892115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290491</v>
      </c>
      <c r="D30" s="175"/>
      <c r="E30" s="176">
        <f>$G$10</f>
        <v>1840.6709676892115</v>
      </c>
      <c r="F30" s="176"/>
      <c r="G30" s="175">
        <f>C30*E30</f>
        <v>534698350.07500672</v>
      </c>
      <c r="H30" s="201"/>
      <c r="I30" s="16"/>
      <c r="J30" s="47" t="s">
        <v>11</v>
      </c>
      <c r="K30" s="208">
        <v>155930</v>
      </c>
      <c r="L30" s="209"/>
      <c r="M30" s="210">
        <v>1917.09716662803</v>
      </c>
      <c r="N30" s="211"/>
      <c r="O30" s="175">
        <f>K30*M30</f>
        <v>298932961.19230872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42" t="s">
        <v>101</v>
      </c>
      <c r="L35" s="142" t="s">
        <v>102</v>
      </c>
      <c r="M35" s="17" t="s">
        <v>103</v>
      </c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446421</v>
      </c>
      <c r="D37" s="175"/>
      <c r="E37" s="175">
        <f>$G$30+$O$30-K37-L37-M37</f>
        <v>790131758.81078565</v>
      </c>
      <c r="F37" s="175"/>
      <c r="G37" s="176">
        <f>E37/C37</f>
        <v>1769.9251576668339</v>
      </c>
      <c r="H37" s="177"/>
      <c r="I37" s="16"/>
      <c r="J37" s="17"/>
      <c r="K37" s="141">
        <v>39838290</v>
      </c>
      <c r="L37" s="143">
        <v>3661262.4565297631</v>
      </c>
      <c r="M37" s="144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290491</v>
      </c>
      <c r="D44" s="168"/>
      <c r="E44" s="63"/>
      <c r="F44" s="169">
        <f>$K$30</f>
        <v>155930</v>
      </c>
      <c r="G44" s="170"/>
      <c r="H44" s="170">
        <f>$L$23</f>
        <v>0</v>
      </c>
      <c r="I44" s="170"/>
      <c r="J44" s="170"/>
      <c r="K44" s="171">
        <f>$C$44-$H$44+$F$44+$O$44</f>
        <v>448376</v>
      </c>
      <c r="L44" s="171"/>
      <c r="M44" s="64">
        <f>SUM($K$44)/D10</f>
        <v>0.59783466666666663</v>
      </c>
      <c r="N44" s="65">
        <f>$G$37</f>
        <v>1769.9251576668339</v>
      </c>
      <c r="O44" s="101">
        <v>1955</v>
      </c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1:Y124"/>
  <sheetViews>
    <sheetView showGridLines="0" zoomScaleNormal="100" workbookViewId="0">
      <selection activeCell="G10" sqref="G1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SUM('0501 (입고)'!K44:L44)</f>
        <v>448376</v>
      </c>
      <c r="F10" s="42"/>
      <c r="G10" s="12">
        <f>SUM('0501 (입고)'!N44)</f>
        <v>1769.9251576668339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100</v>
      </c>
      <c r="L16" s="35">
        <v>20008</v>
      </c>
      <c r="M16" s="102"/>
      <c r="N16" s="91">
        <f>IF(L16="","",($G$10))</f>
        <v>1769.9251576668339</v>
      </c>
      <c r="O16" s="92">
        <f>IF(L16="","",(SUM(M16)-N16))</f>
        <v>-1769.9251576668339</v>
      </c>
      <c r="P16" s="93">
        <f>IF(L16="","",(L16*O16))</f>
        <v>-35412662.554598011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65</v>
      </c>
      <c r="L17" s="35">
        <v>11984</v>
      </c>
      <c r="M17" s="15"/>
      <c r="N17" s="94">
        <f t="shared" ref="N17:N22" si="3">IF(L17="","",($G$10))</f>
        <v>1769.9251576668339</v>
      </c>
      <c r="O17" s="95">
        <f t="shared" ref="O17:O22" si="4">IF(L17="","",(SUM(M17)-N17))</f>
        <v>-1769.9251576668339</v>
      </c>
      <c r="P17" s="96">
        <f t="shared" ref="P17:P22" si="5">IF(L17="","",(L17*O17))</f>
        <v>-21210783.089479338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72</v>
      </c>
      <c r="L18" s="35">
        <v>64000</v>
      </c>
      <c r="M18" s="15"/>
      <c r="N18" s="94">
        <f t="shared" si="3"/>
        <v>1769.9251576668339</v>
      </c>
      <c r="O18" s="95">
        <f t="shared" si="4"/>
        <v>-1769.9251576668339</v>
      </c>
      <c r="P18" s="96">
        <f t="shared" si="5"/>
        <v>-113275210.09067737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85</v>
      </c>
      <c r="L19" s="35">
        <v>32000</v>
      </c>
      <c r="M19" s="15"/>
      <c r="N19" s="94">
        <f t="shared" si="3"/>
        <v>1769.9251576668339</v>
      </c>
      <c r="O19" s="95">
        <f t="shared" si="4"/>
        <v>-1769.9251576668339</v>
      </c>
      <c r="P19" s="96">
        <f t="shared" si="5"/>
        <v>-56637605.045338683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 t="s">
        <v>84</v>
      </c>
      <c r="L20" s="35">
        <v>27938</v>
      </c>
      <c r="M20" s="15"/>
      <c r="N20" s="94">
        <f t="shared" si="3"/>
        <v>1769.9251576668339</v>
      </c>
      <c r="O20" s="95">
        <f t="shared" si="4"/>
        <v>-1769.9251576668339</v>
      </c>
      <c r="P20" s="96">
        <f t="shared" si="5"/>
        <v>-49448169.054896004</v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155930</v>
      </c>
      <c r="M23" s="89"/>
      <c r="N23" s="89"/>
      <c r="O23" s="89"/>
      <c r="P23" s="90">
        <f>SUM(P16:P22)</f>
        <v>-275984429.83498943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292446</v>
      </c>
      <c r="D30" s="175"/>
      <c r="E30" s="176">
        <f>$G$10</f>
        <v>1769.9251576668339</v>
      </c>
      <c r="F30" s="176"/>
      <c r="G30" s="175">
        <f>C30*E30</f>
        <v>517607532.65903491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292446</v>
      </c>
      <c r="D37" s="175"/>
      <c r="E37" s="175">
        <f>$G$30+$O$30-K37</f>
        <v>517607532.65903491</v>
      </c>
      <c r="F37" s="175"/>
      <c r="G37" s="176">
        <f>E37/C37</f>
        <v>1769.9251576668339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448376</v>
      </c>
      <c r="D44" s="168"/>
      <c r="E44" s="63"/>
      <c r="F44" s="169">
        <f>$K$30</f>
        <v>0</v>
      </c>
      <c r="G44" s="170"/>
      <c r="H44" s="170">
        <f>$L$23</f>
        <v>155930</v>
      </c>
      <c r="I44" s="170"/>
      <c r="J44" s="170"/>
      <c r="K44" s="171">
        <f>$C$44-$H$44+$F$44+$O$44</f>
        <v>292446</v>
      </c>
      <c r="L44" s="171"/>
      <c r="M44" s="64">
        <f>SUM($K$44)/D10</f>
        <v>0.389928</v>
      </c>
      <c r="N44" s="65">
        <f>$G$37</f>
        <v>1769.9251576668339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FFFF00"/>
    <pageSetUpPr fitToPage="1"/>
  </sheetPr>
  <dimension ref="B1:Y124"/>
  <sheetViews>
    <sheetView showGridLines="0" topLeftCell="A10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SUM('0501'!K44:L44)</f>
        <v>292446</v>
      </c>
      <c r="F10" s="42"/>
      <c r="G10" s="12">
        <f>SUM('0501'!N44)</f>
        <v>1769.9251576668339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292446</v>
      </c>
      <c r="D30" s="175"/>
      <c r="E30" s="176">
        <f>$G$10</f>
        <v>1769.9251576668339</v>
      </c>
      <c r="F30" s="176"/>
      <c r="G30" s="175">
        <f>C30*E30</f>
        <v>517607532.65903491</v>
      </c>
      <c r="H30" s="201"/>
      <c r="I30" s="16"/>
      <c r="J30" s="47" t="s">
        <v>11</v>
      </c>
      <c r="K30" s="208">
        <v>63994</v>
      </c>
      <c r="L30" s="209"/>
      <c r="M30" s="210">
        <v>1917.09716662803</v>
      </c>
      <c r="N30" s="211"/>
      <c r="O30" s="175">
        <f>K30*M30</f>
        <v>122682716.08119415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356440</v>
      </c>
      <c r="D37" s="175"/>
      <c r="E37" s="175">
        <f>$G$30+$O$30-K37</f>
        <v>640290248.74022901</v>
      </c>
      <c r="F37" s="175"/>
      <c r="G37" s="176">
        <f>E37/C37</f>
        <v>1796.3479091578638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292446</v>
      </c>
      <c r="D44" s="168"/>
      <c r="E44" s="63"/>
      <c r="F44" s="169">
        <f>$K$30</f>
        <v>63994</v>
      </c>
      <c r="G44" s="170"/>
      <c r="H44" s="170">
        <f>$L$23</f>
        <v>0</v>
      </c>
      <c r="I44" s="170"/>
      <c r="J44" s="170"/>
      <c r="K44" s="171">
        <f>$C$44-$H$44+$F$44+$O$44</f>
        <v>356440</v>
      </c>
      <c r="L44" s="171"/>
      <c r="M44" s="64">
        <f>SUM($K$44)/D10</f>
        <v>0.47525333333333336</v>
      </c>
      <c r="N44" s="65">
        <f>$G$37</f>
        <v>1796.3479091578638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B1:Y124"/>
  <sheetViews>
    <sheetView showGridLines="0" zoomScaleNormal="100" workbookViewId="0">
      <selection activeCell="G45" sqref="G45:O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SUM('0502 (입고)'!K44:L44)</f>
        <v>356440</v>
      </c>
      <c r="F10" s="42"/>
      <c r="G10" s="12">
        <f>SUM('0502 (입고)'!N44)</f>
        <v>1796.3479091578638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104</v>
      </c>
      <c r="L16" s="35">
        <v>32000</v>
      </c>
      <c r="M16" s="102"/>
      <c r="N16" s="91">
        <f>IF(L16="","",($G$10))</f>
        <v>1796.3479091578638</v>
      </c>
      <c r="O16" s="92">
        <f>IF(L16="","",(SUM(M16)-N16))</f>
        <v>-1796.3479091578638</v>
      </c>
      <c r="P16" s="93">
        <f>IF(L16="","",(L16*O16))</f>
        <v>-57483133.093051642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-57483133.093051642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324440</v>
      </c>
      <c r="D30" s="175"/>
      <c r="E30" s="176">
        <f>$G$10</f>
        <v>1796.3479091578638</v>
      </c>
      <c r="F30" s="176"/>
      <c r="G30" s="175">
        <f>C30*E30</f>
        <v>582807115.64717734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324440</v>
      </c>
      <c r="D37" s="175"/>
      <c r="E37" s="175">
        <f>$G$30+$O$30-K37</f>
        <v>582807115.64717734</v>
      </c>
      <c r="F37" s="175"/>
      <c r="G37" s="176">
        <f>E37/C37</f>
        <v>1796.3479091578638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356440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324440</v>
      </c>
      <c r="L44" s="171"/>
      <c r="M44" s="64">
        <f>SUM($K$44)/D10</f>
        <v>0.43258666666666667</v>
      </c>
      <c r="N44" s="65">
        <f>$G$37</f>
        <v>1796.3479091578638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FFFF00"/>
    <pageSetUpPr fitToPage="1"/>
  </sheetPr>
  <dimension ref="B1:Y124"/>
  <sheetViews>
    <sheetView showGridLines="0" topLeftCell="A19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SUM('0502'!K44:L44)</f>
        <v>324440</v>
      </c>
      <c r="F10" s="42"/>
      <c r="G10" s="12">
        <f>SUM('0502'!N44)</f>
        <v>1796.3479091578638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324440</v>
      </c>
      <c r="D30" s="175"/>
      <c r="E30" s="176">
        <f>$G$10</f>
        <v>1796.3479091578638</v>
      </c>
      <c r="F30" s="176"/>
      <c r="G30" s="175">
        <f>C30*E30</f>
        <v>582807115.64717734</v>
      </c>
      <c r="H30" s="201"/>
      <c r="I30" s="16"/>
      <c r="J30" s="47" t="s">
        <v>11</v>
      </c>
      <c r="K30" s="208">
        <v>27980</v>
      </c>
      <c r="L30" s="209"/>
      <c r="M30" s="210">
        <v>1917.09716662803</v>
      </c>
      <c r="N30" s="211"/>
      <c r="O30" s="175">
        <f>K30*M30</f>
        <v>53640378.72225228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352420</v>
      </c>
      <c r="D37" s="175"/>
      <c r="E37" s="175">
        <f>$G$30+$O$30-K37</f>
        <v>636447494.36942959</v>
      </c>
      <c r="F37" s="175"/>
      <c r="G37" s="176">
        <f>E37/C37</f>
        <v>1805.9346642342364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324440</v>
      </c>
      <c r="D44" s="168"/>
      <c r="E44" s="63"/>
      <c r="F44" s="169">
        <f>$K$30</f>
        <v>27980</v>
      </c>
      <c r="G44" s="170"/>
      <c r="H44" s="170">
        <f>$L$23</f>
        <v>0</v>
      </c>
      <c r="I44" s="170"/>
      <c r="J44" s="170"/>
      <c r="K44" s="171">
        <f>$C$44-$H$44+$F$44+$O$44</f>
        <v>352420</v>
      </c>
      <c r="L44" s="171"/>
      <c r="M44" s="64">
        <f>SUM($K$44)/D10</f>
        <v>0.46989333333333333</v>
      </c>
      <c r="N44" s="65">
        <f>$G$37</f>
        <v>1805.9346642342364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B1:Y124"/>
  <sheetViews>
    <sheetView showGridLines="0" topLeftCell="A28" zoomScaleNormal="100" workbookViewId="0">
      <selection activeCell="P46" sqref="P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SUM('0505 (입고)'!K44:L44)</f>
        <v>352420</v>
      </c>
      <c r="F10" s="42"/>
      <c r="G10" s="12">
        <f>SUM('0505 (입고)'!N44)</f>
        <v>1805.9346642342364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48</v>
      </c>
      <c r="L16" s="35">
        <v>27980</v>
      </c>
      <c r="M16" s="102"/>
      <c r="N16" s="91">
        <f>IF(L16="","",($G$10))</f>
        <v>1805.9346642342364</v>
      </c>
      <c r="O16" s="92">
        <f>IF(L16="","",(SUM(M16)-N16))</f>
        <v>-1805.9346642342364</v>
      </c>
      <c r="P16" s="93">
        <f>IF(L16="","",(L16*O16))</f>
        <v>-50530051.905273937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27980</v>
      </c>
      <c r="M23" s="89"/>
      <c r="N23" s="89"/>
      <c r="O23" s="89"/>
      <c r="P23" s="90">
        <f>SUM(P16:P22)</f>
        <v>-50530051.905273937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324440</v>
      </c>
      <c r="D30" s="175"/>
      <c r="E30" s="176">
        <f>$G$10</f>
        <v>1805.9346642342364</v>
      </c>
      <c r="F30" s="176"/>
      <c r="G30" s="175">
        <f>C30*E30</f>
        <v>585917442.46415567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324440</v>
      </c>
      <c r="D37" s="175"/>
      <c r="E37" s="175">
        <f>$G$30+$O$30-K37</f>
        <v>585917442.46415567</v>
      </c>
      <c r="F37" s="175"/>
      <c r="G37" s="176">
        <f>E37/C37</f>
        <v>1805.9346642342364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352420</v>
      </c>
      <c r="D44" s="168"/>
      <c r="E44" s="63"/>
      <c r="F44" s="169">
        <f>$K$30</f>
        <v>0</v>
      </c>
      <c r="G44" s="170"/>
      <c r="H44" s="170">
        <f>$L$23</f>
        <v>27980</v>
      </c>
      <c r="I44" s="170"/>
      <c r="J44" s="170"/>
      <c r="K44" s="171">
        <f>$C$44-$H$44+$F$44+$O$44</f>
        <v>324440</v>
      </c>
      <c r="L44" s="171"/>
      <c r="M44" s="64">
        <f>SUM($K$44)/D10</f>
        <v>0.43258666666666667</v>
      </c>
      <c r="N44" s="65">
        <f>$G$37</f>
        <v>1805.9346642342364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FFF00"/>
    <pageSetUpPr fitToPage="1"/>
  </sheetPr>
  <dimension ref="B1:Y124"/>
  <sheetViews>
    <sheetView showGridLines="0" topLeftCell="A27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SUM('0505'!K44:L44)</f>
        <v>324440</v>
      </c>
      <c r="F10" s="42"/>
      <c r="G10" s="12">
        <f>SUM('0505'!N44)</f>
        <v>1805.9346642342364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324440</v>
      </c>
      <c r="D30" s="175"/>
      <c r="E30" s="176">
        <f>$G$10</f>
        <v>1805.9346642342364</v>
      </c>
      <c r="F30" s="176"/>
      <c r="G30" s="175">
        <f>C30*E30</f>
        <v>585917442.46415567</v>
      </c>
      <c r="H30" s="201"/>
      <c r="I30" s="16"/>
      <c r="J30" s="47" t="s">
        <v>11</v>
      </c>
      <c r="K30" s="208">
        <v>63911</v>
      </c>
      <c r="L30" s="209"/>
      <c r="M30" s="210">
        <v>1917.09716662803</v>
      </c>
      <c r="N30" s="211"/>
      <c r="O30" s="175">
        <f>K30*M30</f>
        <v>122523597.01636402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388351</v>
      </c>
      <c r="D37" s="175"/>
      <c r="E37" s="175">
        <f>$G$30+$O$30-K37</f>
        <v>708441039.48051965</v>
      </c>
      <c r="F37" s="175"/>
      <c r="G37" s="176">
        <f>E37/C37</f>
        <v>1824.2286989875645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324440</v>
      </c>
      <c r="D44" s="168"/>
      <c r="E44" s="63"/>
      <c r="F44" s="169">
        <f>$K$30</f>
        <v>63911</v>
      </c>
      <c r="G44" s="170"/>
      <c r="H44" s="170">
        <f>$L$23</f>
        <v>0</v>
      </c>
      <c r="I44" s="170"/>
      <c r="J44" s="170"/>
      <c r="K44" s="171">
        <f>$C$44-$H$44+$F$44+$O$44</f>
        <v>388351</v>
      </c>
      <c r="L44" s="171"/>
      <c r="M44" s="64">
        <f>SUM($K$44)/D10</f>
        <v>0.51780133333333334</v>
      </c>
      <c r="N44" s="65">
        <f>$G$37</f>
        <v>1824.2286989875645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FFFF00"/>
    <pageSetUpPr fitToPage="1"/>
  </sheetPr>
  <dimension ref="B1:Y124"/>
  <sheetViews>
    <sheetView showGridLines="0" topLeftCell="A25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SUM('0506 (입고)'!K44:L44)</f>
        <v>388351</v>
      </c>
      <c r="F10" s="42"/>
      <c r="G10" s="12">
        <f>SUM('0506 (입고)'!N44)</f>
        <v>1824.2286989875645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388351</v>
      </c>
      <c r="D30" s="175"/>
      <c r="E30" s="176">
        <f>$G$10</f>
        <v>1824.2286989875645</v>
      </c>
      <c r="F30" s="176"/>
      <c r="G30" s="175">
        <f>C30*E30</f>
        <v>708441039.48051965</v>
      </c>
      <c r="H30" s="201"/>
      <c r="I30" s="16"/>
      <c r="J30" s="47" t="s">
        <v>11</v>
      </c>
      <c r="K30" s="208">
        <v>27975</v>
      </c>
      <c r="L30" s="209"/>
      <c r="M30" s="210">
        <v>1917.09716662803</v>
      </c>
      <c r="N30" s="211"/>
      <c r="O30" s="175">
        <f>K30*M30</f>
        <v>53630793.236419141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416326</v>
      </c>
      <c r="D37" s="175"/>
      <c r="E37" s="175">
        <f>$G$30+$O$30-K37</f>
        <v>762071832.71693873</v>
      </c>
      <c r="F37" s="175"/>
      <c r="G37" s="176">
        <f>E37/C37</f>
        <v>1830.4689899668499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388351</v>
      </c>
      <c r="D44" s="168"/>
      <c r="E44" s="63"/>
      <c r="F44" s="169">
        <f>$K$30</f>
        <v>27975</v>
      </c>
      <c r="G44" s="170"/>
      <c r="H44" s="170">
        <f>$L$23</f>
        <v>0</v>
      </c>
      <c r="I44" s="170"/>
      <c r="J44" s="170"/>
      <c r="K44" s="171">
        <f>$C$44-$H$44+$F$44+$O$44</f>
        <v>416326</v>
      </c>
      <c r="L44" s="171"/>
      <c r="M44" s="64">
        <f>SUM($K$44)/D10</f>
        <v>0.55510133333333334</v>
      </c>
      <c r="N44" s="65">
        <f>$G$37</f>
        <v>1830.4689899668499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B1:Y124"/>
  <sheetViews>
    <sheetView showGridLines="0" topLeftCell="A12" zoomScaleNormal="100" workbookViewId="0">
      <selection activeCell="R38" sqref="R38:T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SUM('0507 (입고)'!K44:L44)</f>
        <v>416326</v>
      </c>
      <c r="F10" s="42"/>
      <c r="G10" s="12">
        <f>SUM('0507 (입고)'!N44)</f>
        <v>1830.4689899668499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416326</v>
      </c>
      <c r="D30" s="175"/>
      <c r="E30" s="176">
        <f>$G$10</f>
        <v>1830.4689899668499</v>
      </c>
      <c r="F30" s="176"/>
      <c r="G30" s="175">
        <f>C30*E30</f>
        <v>762071832.71693873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416326</v>
      </c>
      <c r="D37" s="175"/>
      <c r="E37" s="175">
        <f>$G$30+$O$30-K37</f>
        <v>762071832.71693873</v>
      </c>
      <c r="F37" s="175"/>
      <c r="G37" s="176">
        <f>E37/C37</f>
        <v>1830.4689899668499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416326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416326</v>
      </c>
      <c r="L44" s="171"/>
      <c r="M44" s="64">
        <f>SUM($K$44)/D10</f>
        <v>0.55510133333333334</v>
      </c>
      <c r="N44" s="65">
        <f>$G$37</f>
        <v>1830.4689899668499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B1:Y124"/>
  <sheetViews>
    <sheetView showGridLines="0" topLeftCell="A4" zoomScaleNormal="100" workbookViewId="0">
      <selection activeCell="O46" sqref="O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SUM('0507'!K44:L44)</f>
        <v>416326</v>
      </c>
      <c r="F10" s="42"/>
      <c r="G10" s="12">
        <f>SUM('0507'!N44)</f>
        <v>1830.4689899668499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1830.4689899668499</v>
      </c>
      <c r="O16" s="92">
        <f>IF(L16="","",(SUM(M16)-N16))</f>
        <v>-1830.4689899668499</v>
      </c>
      <c r="P16" s="93">
        <f>IF(L16="","",(L16*O16))</f>
        <v>-14643751.919734798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12000</v>
      </c>
      <c r="M17" s="15"/>
      <c r="N17" s="94">
        <f t="shared" ref="N17:N22" si="3">IF(L17="","",($G$10))</f>
        <v>1830.4689899668499</v>
      </c>
      <c r="O17" s="95">
        <f t="shared" ref="O17:O22" si="4">IF(L17="","",(SUM(M17)-N17))</f>
        <v>-1830.4689899668499</v>
      </c>
      <c r="P17" s="96">
        <f t="shared" ref="P17:P22" si="5">IF(L17="","",(L17*O17))</f>
        <v>-21965627.879602198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73</v>
      </c>
      <c r="L18" s="35">
        <v>20000</v>
      </c>
      <c r="M18" s="15"/>
      <c r="N18" s="94">
        <f t="shared" si="3"/>
        <v>1830.4689899668499</v>
      </c>
      <c r="O18" s="95">
        <f t="shared" si="4"/>
        <v>-1830.4689899668499</v>
      </c>
      <c r="P18" s="96">
        <f t="shared" si="5"/>
        <v>-36609379.799337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40000</v>
      </c>
      <c r="M23" s="89"/>
      <c r="N23" s="89"/>
      <c r="O23" s="89"/>
      <c r="P23" s="90">
        <f>SUM(P16:P22)</f>
        <v>-73218759.598673999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376326</v>
      </c>
      <c r="D30" s="175"/>
      <c r="E30" s="176">
        <f>$G$10</f>
        <v>1830.4689899668499</v>
      </c>
      <c r="F30" s="176"/>
      <c r="G30" s="175">
        <f>C30*E30</f>
        <v>688853073.11826479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376326</v>
      </c>
      <c r="D37" s="175"/>
      <c r="E37" s="175">
        <f>$G$30+$O$30-K37</f>
        <v>688853073.11826479</v>
      </c>
      <c r="F37" s="175"/>
      <c r="G37" s="176">
        <f>E37/C37</f>
        <v>1830.4689899668499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416326</v>
      </c>
      <c r="D44" s="168"/>
      <c r="E44" s="63"/>
      <c r="F44" s="169">
        <f>$K$30</f>
        <v>0</v>
      </c>
      <c r="G44" s="170"/>
      <c r="H44" s="170">
        <f>$L$23</f>
        <v>40000</v>
      </c>
      <c r="I44" s="170"/>
      <c r="J44" s="170"/>
      <c r="K44" s="171">
        <f>$C$44-$H$44+$F$44+$O$44</f>
        <v>376326</v>
      </c>
      <c r="L44" s="171"/>
      <c r="M44" s="64">
        <f>SUM($K$44)/D10</f>
        <v>0.50176799999999999</v>
      </c>
      <c r="N44" s="65">
        <f>$G$37</f>
        <v>1830.4689899668499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B1:Y124"/>
  <sheetViews>
    <sheetView showGridLines="0" topLeftCell="A9" zoomScaleNormal="100" workbookViewId="0">
      <selection activeCell="X19" sqref="X1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SUM('0508'!K44:L44)</f>
        <v>376326</v>
      </c>
      <c r="F10" s="42"/>
      <c r="G10" s="12">
        <f>SUM('0508'!N44)</f>
        <v>1830.4689899668499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84</v>
      </c>
      <c r="L16" s="35">
        <v>32000</v>
      </c>
      <c r="M16" s="102"/>
      <c r="N16" s="91">
        <f>IF(L16="","",($G$10))</f>
        <v>1830.4689899668499</v>
      </c>
      <c r="O16" s="92">
        <f>IF(L16="","",(SUM(M16)-N16))</f>
        <v>-1830.4689899668499</v>
      </c>
      <c r="P16" s="93">
        <f>IF(L16="","",(L16*O16))</f>
        <v>-58575007.678939193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63</v>
      </c>
      <c r="L17" s="35">
        <v>28000</v>
      </c>
      <c r="M17" s="15"/>
      <c r="N17" s="94">
        <f t="shared" ref="N17:N22" si="3">IF(L17="","",($G$10))</f>
        <v>1830.4689899668499</v>
      </c>
      <c r="O17" s="95">
        <f t="shared" ref="O17:O22" si="4">IF(L17="","",(SUM(M17)-N17))</f>
        <v>-1830.4689899668499</v>
      </c>
      <c r="P17" s="96">
        <f t="shared" ref="P17:P22" si="5">IF(L17="","",(L17*O17))</f>
        <v>-51253131.719071798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-109828139.398011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316326</v>
      </c>
      <c r="D30" s="175"/>
      <c r="E30" s="176">
        <f>$G$10</f>
        <v>1830.4689899668499</v>
      </c>
      <c r="F30" s="176"/>
      <c r="G30" s="175">
        <f>C30*E30</f>
        <v>579024933.72025371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316326</v>
      </c>
      <c r="D37" s="175"/>
      <c r="E37" s="175">
        <f>$G$30+$O$30-K37</f>
        <v>579024933.72025371</v>
      </c>
      <c r="F37" s="175"/>
      <c r="G37" s="176">
        <f>E37/C37</f>
        <v>1830.4689899668497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</f>
        <v>28053</v>
      </c>
      <c r="S38" s="120"/>
      <c r="T38" s="120">
        <v>84006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376326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316326</v>
      </c>
      <c r="L44" s="171"/>
      <c r="M44" s="64">
        <f>SUM($K$44)/D10</f>
        <v>0.42176799999999998</v>
      </c>
      <c r="N44" s="65">
        <f>$G$37</f>
        <v>1830.4689899668497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B1:Y124"/>
  <sheetViews>
    <sheetView showGridLines="0" topLeftCell="A34" zoomScaleNormal="100" workbookViewId="0">
      <selection activeCell="D51" sqref="D5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SUM('0511'!K44:L44)</f>
        <v>316326</v>
      </c>
      <c r="F10" s="42"/>
      <c r="G10" s="12">
        <f>SUM('0511'!N44)</f>
        <v>1830.4689899668497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48</v>
      </c>
      <c r="L16" s="35">
        <v>28000</v>
      </c>
      <c r="M16" s="102"/>
      <c r="N16" s="91">
        <f>IF(L16="","",($G$10))</f>
        <v>1830.4689899668497</v>
      </c>
      <c r="O16" s="92">
        <f>IF(L16="","",(SUM(M16)-N16))</f>
        <v>-1830.4689899668497</v>
      </c>
      <c r="P16" s="93">
        <f>IF(L16="","",(L16*O16))</f>
        <v>-51253131.719071791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-51253131.719071791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288326</v>
      </c>
      <c r="D30" s="175"/>
      <c r="E30" s="176">
        <f>$G$10</f>
        <v>1830.4689899668497</v>
      </c>
      <c r="F30" s="176"/>
      <c r="G30" s="175">
        <f>C30*E30</f>
        <v>527771802.0011819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288326</v>
      </c>
      <c r="D37" s="175"/>
      <c r="E37" s="175">
        <f>$G$30+$O$30-K37</f>
        <v>527771802.0011819</v>
      </c>
      <c r="F37" s="175"/>
      <c r="G37" s="176">
        <f>E37/C37</f>
        <v>1830.4689899668497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56110-28000-57-28000</f>
        <v>53</v>
      </c>
      <c r="S38" s="120"/>
      <c r="T38" s="120">
        <f>84006-28000</f>
        <v>56006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316326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288326</v>
      </c>
      <c r="L44" s="171"/>
      <c r="M44" s="64">
        <f>SUM($K$44)/D10</f>
        <v>0.38443466666666665</v>
      </c>
      <c r="N44" s="65">
        <f>$G$37</f>
        <v>1830.4689899668497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53" spans="2:20" ht="20.25" customHeight="1">
      <c r="Q53" s="123">
        <v>46154</v>
      </c>
      <c r="R53" s="132" t="s">
        <v>45</v>
      </c>
      <c r="S53" s="122">
        <v>56000</v>
      </c>
      <c r="T53" s="131" t="s">
        <v>52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FFFF00"/>
    <pageSetUpPr fitToPage="1"/>
  </sheetPr>
  <dimension ref="B1:Y124"/>
  <sheetViews>
    <sheetView showGridLines="0" topLeftCell="A15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SUM('0512'!K44:L44)</f>
        <v>288326</v>
      </c>
      <c r="F10" s="42"/>
      <c r="G10" s="12">
        <f>SUM('0512'!N44)</f>
        <v>1830.4689899668497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288326</v>
      </c>
      <c r="D30" s="175"/>
      <c r="E30" s="176">
        <f>$G$10</f>
        <v>1830.4689899668497</v>
      </c>
      <c r="F30" s="176"/>
      <c r="G30" s="175">
        <f>C30*E30</f>
        <v>527771802.0011819</v>
      </c>
      <c r="H30" s="201"/>
      <c r="I30" s="16"/>
      <c r="J30" s="47" t="s">
        <v>11</v>
      </c>
      <c r="K30" s="208">
        <v>32000</v>
      </c>
      <c r="L30" s="209"/>
      <c r="M30" s="210">
        <v>1917.09716662803</v>
      </c>
      <c r="N30" s="211"/>
      <c r="O30" s="175">
        <f>K30*M30</f>
        <v>61347109.332096957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320326</v>
      </c>
      <c r="D37" s="175"/>
      <c r="E37" s="175">
        <f>$G$30+$O$30-K37</f>
        <v>589118911.33327889</v>
      </c>
      <c r="F37" s="175"/>
      <c r="G37" s="176">
        <f>E37/C37</f>
        <v>1839.1229913690393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56110-28000-57-28000</f>
        <v>53</v>
      </c>
      <c r="S38" s="120"/>
      <c r="T38" s="120">
        <f>84006-28000</f>
        <v>56006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288326</v>
      </c>
      <c r="D44" s="168"/>
      <c r="E44" s="63"/>
      <c r="F44" s="169">
        <f>$K$30</f>
        <v>32000</v>
      </c>
      <c r="G44" s="170"/>
      <c r="H44" s="170">
        <f>$L$23</f>
        <v>0</v>
      </c>
      <c r="I44" s="170"/>
      <c r="J44" s="170"/>
      <c r="K44" s="171">
        <f>$C$44-$H$44+$F$44+$O$44</f>
        <v>320326</v>
      </c>
      <c r="L44" s="171"/>
      <c r="M44" s="64">
        <f>SUM($K$44)/D10</f>
        <v>0.42710133333333333</v>
      </c>
      <c r="N44" s="65">
        <f>$G$37</f>
        <v>1839.1229913690393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53" spans="2:20" ht="20.25" customHeight="1">
      <c r="Q53" s="123">
        <v>46154</v>
      </c>
      <c r="R53" s="132" t="s">
        <v>45</v>
      </c>
      <c r="S53" s="122">
        <v>56000</v>
      </c>
      <c r="T53" s="131" t="s">
        <v>52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B1:Y124"/>
  <sheetViews>
    <sheetView showGridLines="0" topLeftCell="A8" zoomScaleNormal="100" workbookViewId="0">
      <selection activeCell="Q21" sqref="Q2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SUM('0513 (입고)'!K44:L44)</f>
        <v>320326</v>
      </c>
      <c r="F10" s="42"/>
      <c r="G10" s="12">
        <f>SUM('0513 (입고)'!N44)</f>
        <v>1839.1229913690393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72</v>
      </c>
      <c r="L16" s="35">
        <v>32000</v>
      </c>
      <c r="M16" s="102"/>
      <c r="N16" s="91">
        <f>IF(L16="","",($G$10))</f>
        <v>1839.1229913690393</v>
      </c>
      <c r="O16" s="92">
        <f>IF(L16="","",(SUM(M16)-N16))</f>
        <v>-1839.1229913690393</v>
      </c>
      <c r="P16" s="93">
        <f>IF(L16="","",(L16*O16))</f>
        <v>-58851935.723809257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-58851935.723809257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288326</v>
      </c>
      <c r="D30" s="175"/>
      <c r="E30" s="176">
        <f>$G$10</f>
        <v>1839.1229913690393</v>
      </c>
      <c r="F30" s="176"/>
      <c r="G30" s="175">
        <f>C30*E30</f>
        <v>530266975.60946959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288326</v>
      </c>
      <c r="D37" s="175"/>
      <c r="E37" s="175">
        <f>$G$30+$O$30-K37</f>
        <v>530266975.60946959</v>
      </c>
      <c r="F37" s="175"/>
      <c r="G37" s="176">
        <f>E37/C37</f>
        <v>1839.1229913690393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56110-28000-57-28000</f>
        <v>53</v>
      </c>
      <c r="S38" s="120"/>
      <c r="T38" s="120">
        <f>84006-28000</f>
        <v>56006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320326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288326</v>
      </c>
      <c r="L44" s="171"/>
      <c r="M44" s="64">
        <f>SUM($K$44)/D10</f>
        <v>0.38443466666666665</v>
      </c>
      <c r="N44" s="65">
        <f>$G$37</f>
        <v>1839.1229913690393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8"/>
      <c r="P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53" spans="2:20" ht="20.25" customHeight="1">
      <c r="Q53" s="123">
        <v>46154</v>
      </c>
      <c r="R53" s="132" t="s">
        <v>45</v>
      </c>
      <c r="S53" s="122">
        <v>56000</v>
      </c>
      <c r="T53" s="131" t="s">
        <v>52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FFC000"/>
    <pageSetUpPr fitToPage="1"/>
  </sheetPr>
  <dimension ref="B1:Y124"/>
  <sheetViews>
    <sheetView showGridLines="0" topLeftCell="A27" zoomScaleNormal="100" workbookViewId="0">
      <selection activeCell="Q43" sqref="Q43:T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SUM('0513'!K44:L44)</f>
        <v>288326</v>
      </c>
      <c r="F10" s="42"/>
      <c r="G10" s="12">
        <f>SUM('0513'!N44)</f>
        <v>1839.1229913690393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288326</v>
      </c>
      <c r="D30" s="175"/>
      <c r="E30" s="176">
        <f>$G$10</f>
        <v>1839.1229913690393</v>
      </c>
      <c r="F30" s="176"/>
      <c r="G30" s="175">
        <f>C30*E30</f>
        <v>530266975.60946959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288326</v>
      </c>
      <c r="D37" s="175"/>
      <c r="E37" s="175">
        <f>$G$30+$O$30-K37</f>
        <v>530266975.60946959</v>
      </c>
      <c r="F37" s="175"/>
      <c r="G37" s="176">
        <f>E37/C37</f>
        <v>1839.1229913690393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56110-28000-57-28000</f>
        <v>53</v>
      </c>
      <c r="S38" s="120"/>
      <c r="T38" s="120">
        <f>84006-28000-28000</f>
        <v>28006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288326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288326</v>
      </c>
      <c r="L44" s="171"/>
      <c r="M44" s="64">
        <f>SUM($K$44)/D10</f>
        <v>0.38443466666666665</v>
      </c>
      <c r="N44" s="65">
        <f>$G$37</f>
        <v>1839.1229913690393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53" spans="2:20" ht="20.25" customHeight="1">
      <c r="Q53" s="136">
        <v>46154</v>
      </c>
      <c r="R53" s="132" t="s">
        <v>45</v>
      </c>
      <c r="S53" s="122">
        <v>56000</v>
      </c>
      <c r="T53" s="131" t="s">
        <v>52</v>
      </c>
    </row>
    <row r="54" spans="2:20" ht="20.25" customHeight="1">
      <c r="Q54" s="136">
        <v>46156</v>
      </c>
      <c r="R54" s="132" t="s">
        <v>45</v>
      </c>
      <c r="S54" s="122">
        <v>28000</v>
      </c>
      <c r="T54" s="131" t="s">
        <v>58</v>
      </c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FF00"/>
    <pageSetUpPr fitToPage="1"/>
  </sheetPr>
  <dimension ref="B1:Y124"/>
  <sheetViews>
    <sheetView showGridLines="0" topLeftCell="A21" zoomScaleNormal="100" workbookViewId="0">
      <selection activeCell="L33" sqref="L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SUM('0514'!K44:L44)</f>
        <v>288326</v>
      </c>
      <c r="F10" s="42"/>
      <c r="G10" s="12">
        <f>SUM('0514'!N44)</f>
        <v>1839.1229913690393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288326</v>
      </c>
      <c r="D30" s="175"/>
      <c r="E30" s="176">
        <f>$G$10</f>
        <v>1839.1229913690393</v>
      </c>
      <c r="F30" s="176"/>
      <c r="G30" s="175">
        <f>C30*E30</f>
        <v>530266975.60946959</v>
      </c>
      <c r="H30" s="201"/>
      <c r="I30" s="16"/>
      <c r="J30" s="47" t="s">
        <v>11</v>
      </c>
      <c r="K30" s="208">
        <v>27879</v>
      </c>
      <c r="L30" s="209"/>
      <c r="M30" s="210">
        <v>1917.09716662803</v>
      </c>
      <c r="N30" s="211"/>
      <c r="O30" s="175">
        <f>K30*M30</f>
        <v>53446751.90842285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46121</v>
      </c>
      <c r="S36" s="173"/>
      <c r="T36" s="172">
        <v>46135</v>
      </c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316205</v>
      </c>
      <c r="D37" s="175"/>
      <c r="E37" s="175">
        <f>$G$30+$O$30-K37</f>
        <v>583713727.51789248</v>
      </c>
      <c r="F37" s="175"/>
      <c r="G37" s="176">
        <f>E37/C37</f>
        <v>1845.997778396586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 t="s">
        <v>45</v>
      </c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56110-28000-57-28000</f>
        <v>53</v>
      </c>
      <c r="S38" s="120"/>
      <c r="T38" s="120">
        <f>84006-28000-28000</f>
        <v>28006</v>
      </c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 t="s">
        <v>54</v>
      </c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288326</v>
      </c>
      <c r="D44" s="168"/>
      <c r="E44" s="63"/>
      <c r="F44" s="169">
        <f>$K$30</f>
        <v>27879</v>
      </c>
      <c r="G44" s="170"/>
      <c r="H44" s="170">
        <f>$L$23</f>
        <v>0</v>
      </c>
      <c r="I44" s="170"/>
      <c r="J44" s="170"/>
      <c r="K44" s="171">
        <f>$C$44-$H$44+$F$44+$O$44</f>
        <v>316205</v>
      </c>
      <c r="L44" s="171"/>
      <c r="M44" s="64">
        <f>SUM($K$44)/D10</f>
        <v>0.42160666666666669</v>
      </c>
      <c r="N44" s="65">
        <f>$G$37</f>
        <v>1845.997778396586</v>
      </c>
      <c r="O44" s="101"/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53" spans="2:20" ht="20.25" customHeight="1">
      <c r="Q53" s="136">
        <v>46154</v>
      </c>
      <c r="R53" s="132" t="s">
        <v>45</v>
      </c>
      <c r="S53" s="122">
        <v>56000</v>
      </c>
      <c r="T53" s="131" t="s">
        <v>52</v>
      </c>
    </row>
    <row r="54" spans="2:20" ht="20.25" customHeight="1">
      <c r="Q54" s="136">
        <v>46156</v>
      </c>
      <c r="R54" s="132" t="s">
        <v>45</v>
      </c>
      <c r="S54" s="122">
        <v>28000</v>
      </c>
      <c r="T54" s="131" t="s">
        <v>58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B1:Y124"/>
  <sheetViews>
    <sheetView showGridLines="0" topLeftCell="A8" zoomScaleNormal="100" workbookViewId="0">
      <selection activeCell="Q35" sqref="Q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SUM('0515 (입고)'!K44:L44)</f>
        <v>316205</v>
      </c>
      <c r="F10" s="42"/>
      <c r="G10" s="12">
        <f>SUM('0515 (입고)'!N44)</f>
        <v>1845.997778396586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1845.997778396586</v>
      </c>
      <c r="O16" s="92">
        <f>IF(L16="","",(SUM(M16)-N16))</f>
        <v>-1845.997778396586</v>
      </c>
      <c r="P16" s="93">
        <f>IF(L16="","",(L16*O16))</f>
        <v>-14767982.227172688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15931</v>
      </c>
      <c r="M17" s="15"/>
      <c r="N17" s="94">
        <f t="shared" ref="N17:N22" si="3">IF(L17="","",($G$10))</f>
        <v>1845.997778396586</v>
      </c>
      <c r="O17" s="95">
        <f t="shared" ref="O17:O22" si="4">IF(L17="","",(SUM(M17)-N17))</f>
        <v>-1845.997778396586</v>
      </c>
      <c r="P17" s="96">
        <f t="shared" ref="P17:P22" si="5">IF(L17="","",(L17*O17))</f>
        <v>-29408590.607636012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99</v>
      </c>
      <c r="L18" s="35">
        <v>11948</v>
      </c>
      <c r="M18" s="15"/>
      <c r="N18" s="94">
        <f t="shared" si="3"/>
        <v>1845.997778396586</v>
      </c>
      <c r="O18" s="95">
        <f t="shared" si="4"/>
        <v>-1845.997778396586</v>
      </c>
      <c r="P18" s="96">
        <f t="shared" si="5"/>
        <v>-22055981.456282411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35879</v>
      </c>
      <c r="M23" s="89"/>
      <c r="N23" s="89"/>
      <c r="O23" s="89"/>
      <c r="P23" s="90">
        <f>SUM(P16:P22)</f>
        <v>-66232554.291091114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280326</v>
      </c>
      <c r="D30" s="175"/>
      <c r="E30" s="176">
        <f>$G$10</f>
        <v>1845.997778396586</v>
      </c>
      <c r="F30" s="176"/>
      <c r="G30" s="175">
        <f>C30*E30</f>
        <v>517481173.2268014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280326</v>
      </c>
      <c r="D37" s="175"/>
      <c r="E37" s="175">
        <f>$G$30+$O$30-K37</f>
        <v>517481173.2268014</v>
      </c>
      <c r="F37" s="175"/>
      <c r="G37" s="176">
        <f>E37/C37</f>
        <v>1845.997778396586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46110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316205</v>
      </c>
      <c r="D44" s="168"/>
      <c r="E44" s="63"/>
      <c r="F44" s="169">
        <f>$K$30</f>
        <v>0</v>
      </c>
      <c r="G44" s="170"/>
      <c r="H44" s="170">
        <f>$L$23</f>
        <v>35879</v>
      </c>
      <c r="I44" s="170"/>
      <c r="J44" s="170"/>
      <c r="K44" s="171">
        <f>$C$44-$H$44+$F$44+$O$44</f>
        <v>280385</v>
      </c>
      <c r="L44" s="171"/>
      <c r="M44" s="64">
        <f>SUM($K$44)/D10</f>
        <v>0.37384666666666666</v>
      </c>
      <c r="N44" s="65">
        <f>$G$37</f>
        <v>1845.997778396586</v>
      </c>
      <c r="O44" s="101">
        <v>59</v>
      </c>
      <c r="P44" s="22"/>
      <c r="Q44" s="136">
        <v>46110</v>
      </c>
      <c r="R44" s="132" t="s">
        <v>69</v>
      </c>
      <c r="S44" s="122">
        <v>32000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>
        <v>46112</v>
      </c>
      <c r="R45" s="132" t="s">
        <v>45</v>
      </c>
      <c r="S45" s="122">
        <v>28000</v>
      </c>
      <c r="T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>
        <v>46114</v>
      </c>
      <c r="R46" s="132" t="s">
        <v>45</v>
      </c>
      <c r="S46" s="122">
        <v>28000</v>
      </c>
      <c r="T46" s="131" t="s">
        <v>58</v>
      </c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>
        <v>46115</v>
      </c>
      <c r="R47" s="132" t="s">
        <v>45</v>
      </c>
      <c r="S47" s="122">
        <v>28000</v>
      </c>
      <c r="T47" s="131" t="s">
        <v>58</v>
      </c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>
        <v>46119</v>
      </c>
      <c r="R48" s="132" t="s">
        <v>45</v>
      </c>
      <c r="S48" s="122">
        <v>28000</v>
      </c>
      <c r="T48" s="131" t="s">
        <v>58</v>
      </c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>
        <v>46127</v>
      </c>
      <c r="R49" s="132" t="s">
        <v>45</v>
      </c>
      <c r="S49" s="122">
        <v>28000</v>
      </c>
      <c r="T49" s="131" t="s">
        <v>58</v>
      </c>
    </row>
    <row r="50" spans="2:20" ht="25.5" customHeight="1">
      <c r="K50" s="253"/>
      <c r="L50" s="253"/>
      <c r="Q50" s="136">
        <v>46128</v>
      </c>
      <c r="R50" s="132" t="s">
        <v>45</v>
      </c>
      <c r="S50" s="122">
        <v>28000</v>
      </c>
      <c r="T50" s="131" t="s">
        <v>58</v>
      </c>
    </row>
    <row r="51" spans="2:20" ht="20.25" customHeight="1">
      <c r="Q51" s="136">
        <v>46129</v>
      </c>
      <c r="R51" s="132" t="s">
        <v>45</v>
      </c>
      <c r="S51" s="122">
        <v>28000</v>
      </c>
      <c r="T51" s="131" t="s">
        <v>58</v>
      </c>
    </row>
    <row r="52" spans="2:20" ht="20.25" customHeight="1">
      <c r="Q52" s="136">
        <v>46133</v>
      </c>
      <c r="R52" s="132" t="s">
        <v>45</v>
      </c>
      <c r="S52" s="122">
        <v>28000</v>
      </c>
      <c r="T52" s="131" t="s">
        <v>58</v>
      </c>
    </row>
    <row r="53" spans="2:20" ht="20.25" customHeight="1">
      <c r="Q53" s="136">
        <v>46154</v>
      </c>
      <c r="R53" s="132" t="s">
        <v>45</v>
      </c>
      <c r="S53" s="122">
        <v>56000</v>
      </c>
      <c r="T53" s="131" t="s">
        <v>52</v>
      </c>
    </row>
    <row r="54" spans="2:20" ht="20.25" customHeight="1">
      <c r="Q54" s="136">
        <v>46156</v>
      </c>
      <c r="R54" s="132" t="s">
        <v>45</v>
      </c>
      <c r="S54" s="122">
        <v>28000</v>
      </c>
      <c r="T54" s="131" t="s">
        <v>58</v>
      </c>
    </row>
    <row r="55" spans="2:20" ht="20.25" customHeight="1">
      <c r="Q55" s="136">
        <v>46157</v>
      </c>
      <c r="R55" s="132" t="s">
        <v>45</v>
      </c>
      <c r="S55" s="122">
        <v>28000</v>
      </c>
      <c r="T55" s="131" t="s">
        <v>58</v>
      </c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  <pageSetUpPr fitToPage="1"/>
  </sheetPr>
  <dimension ref="B1:Y124"/>
  <sheetViews>
    <sheetView showGridLines="0" topLeftCell="A25" zoomScaleNormal="100" workbookViewId="0">
      <selection activeCell="K30" sqref="K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SUM('0515'!K44:L44)</f>
        <v>280385</v>
      </c>
      <c r="F10" s="42"/>
      <c r="G10" s="12">
        <f>SUM('0515'!N44)</f>
        <v>1845.997778396586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280385</v>
      </c>
      <c r="D30" s="175"/>
      <c r="E30" s="176">
        <f>$G$10</f>
        <v>1845.997778396586</v>
      </c>
      <c r="F30" s="176"/>
      <c r="G30" s="175">
        <f>C30*E30</f>
        <v>517590087.09572679</v>
      </c>
      <c r="H30" s="201"/>
      <c r="I30" s="16"/>
      <c r="J30" s="47" t="s">
        <v>11</v>
      </c>
      <c r="K30" s="208">
        <v>25021</v>
      </c>
      <c r="L30" s="209"/>
      <c r="M30" s="210">
        <v>1676.2511280441499</v>
      </c>
      <c r="N30" s="211"/>
      <c r="O30" s="175">
        <f>K30*M30</f>
        <v>41941479.474792674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9" t="s">
        <v>105</v>
      </c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305406</v>
      </c>
      <c r="D37" s="175"/>
      <c r="E37" s="175">
        <f>$G$30+$O$30-K37</f>
        <v>559531566.57051945</v>
      </c>
      <c r="F37" s="175"/>
      <c r="G37" s="176">
        <f>E37/C37</f>
        <v>1832.0909431069445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280385</v>
      </c>
      <c r="D44" s="168"/>
      <c r="E44" s="63"/>
      <c r="F44" s="169">
        <f>$K$30</f>
        <v>25021</v>
      </c>
      <c r="G44" s="170"/>
      <c r="H44" s="170">
        <f>$L$23</f>
        <v>0</v>
      </c>
      <c r="I44" s="170"/>
      <c r="J44" s="170"/>
      <c r="K44" s="171">
        <f>$C$44-$H$44+$F$44+$O$44</f>
        <v>305406</v>
      </c>
      <c r="L44" s="171"/>
      <c r="M44" s="64">
        <f>SUM($K$44)/D10</f>
        <v>0.40720800000000001</v>
      </c>
      <c r="N44" s="65">
        <f>$G$37</f>
        <v>1832.0909431069445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FFFF00"/>
    <pageSetUpPr fitToPage="1"/>
  </sheetPr>
  <dimension ref="B1:Y124"/>
  <sheetViews>
    <sheetView showGridLines="0" topLeftCell="A23" zoomScaleNormal="100" workbookViewId="0">
      <selection activeCell="O37" sqref="O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SUM('0516 (정제입고)'!K44:L44)</f>
        <v>305406</v>
      </c>
      <c r="F10" s="42"/>
      <c r="G10" s="12">
        <f>SUM('0516 (정제입고)'!N44)</f>
        <v>1832.0909431069445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305406</v>
      </c>
      <c r="D30" s="175"/>
      <c r="E30" s="176">
        <f>$G$10</f>
        <v>1832.0909431069445</v>
      </c>
      <c r="F30" s="176"/>
      <c r="G30" s="175">
        <f>C30*E30</f>
        <v>559531566.57051945</v>
      </c>
      <c r="H30" s="201"/>
      <c r="I30" s="16"/>
      <c r="J30" s="47" t="s">
        <v>11</v>
      </c>
      <c r="K30" s="208">
        <v>27897</v>
      </c>
      <c r="L30" s="209"/>
      <c r="M30" s="210">
        <v>1917.09716662803</v>
      </c>
      <c r="N30" s="211"/>
      <c r="O30" s="175">
        <f>K30*M30</f>
        <v>53481259.657422155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333303</v>
      </c>
      <c r="D37" s="175"/>
      <c r="E37" s="175">
        <f>$G$30+$O$30-K37</f>
        <v>613012826.22794163</v>
      </c>
      <c r="F37" s="175"/>
      <c r="G37" s="176">
        <f>E37/C37</f>
        <v>1839.2058464158488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305406</v>
      </c>
      <c r="D44" s="168"/>
      <c r="E44" s="63"/>
      <c r="F44" s="169">
        <f>$K$30</f>
        <v>27897</v>
      </c>
      <c r="G44" s="170"/>
      <c r="H44" s="170">
        <f>$L$23</f>
        <v>0</v>
      </c>
      <c r="I44" s="170"/>
      <c r="J44" s="170"/>
      <c r="K44" s="171">
        <f>$C$44-$H$44+$F$44+$O$44</f>
        <v>333303</v>
      </c>
      <c r="L44" s="171"/>
      <c r="M44" s="64">
        <f>SUM($K$44)/D10</f>
        <v>0.44440400000000002</v>
      </c>
      <c r="N44" s="65">
        <f>$G$37</f>
        <v>1839.2058464158488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B1:Y124"/>
  <sheetViews>
    <sheetView showGridLines="0" topLeftCell="A12" zoomScaleNormal="100" workbookViewId="0">
      <selection activeCell="E10" sqref="E1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SUM('0517 (입고)'!K44:L44)</f>
        <v>333303</v>
      </c>
      <c r="F10" s="42"/>
      <c r="G10" s="12">
        <f>SUM('0517 (입고)'!N44)</f>
        <v>1839.2058464158488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63</v>
      </c>
      <c r="L16" s="35">
        <v>15944</v>
      </c>
      <c r="M16" s="102"/>
      <c r="N16" s="91">
        <f>IF(L16="","",($G$10))</f>
        <v>1839.2058464158488</v>
      </c>
      <c r="O16" s="92">
        <f>IF(L16="","",(SUM(M16)-N16))</f>
        <v>-1839.2058464158488</v>
      </c>
      <c r="P16" s="93">
        <f>IF(L16="","",(L16*O16))</f>
        <v>-29324298.015254293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48</v>
      </c>
      <c r="L17" s="35">
        <v>11953</v>
      </c>
      <c r="M17" s="15"/>
      <c r="N17" s="94">
        <f t="shared" ref="N17:N22" si="3">IF(L17="","",($G$10))</f>
        <v>1839.2058464158488</v>
      </c>
      <c r="O17" s="95">
        <f t="shared" ref="O17:O22" si="4">IF(L17="","",(SUM(M17)-N17))</f>
        <v>-1839.2058464158488</v>
      </c>
      <c r="P17" s="96">
        <f t="shared" ref="P17:P22" si="5">IF(L17="","",(L17*O17))</f>
        <v>-21984027.482208639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27897</v>
      </c>
      <c r="M23" s="89"/>
      <c r="N23" s="89"/>
      <c r="O23" s="89"/>
      <c r="P23" s="90">
        <f>SUM(P16:P22)</f>
        <v>-51308325.497462928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305406</v>
      </c>
      <c r="D30" s="175"/>
      <c r="E30" s="176">
        <f>$G$10</f>
        <v>1839.2058464158488</v>
      </c>
      <c r="F30" s="176"/>
      <c r="G30" s="175">
        <f>C30*E30</f>
        <v>561704500.73047876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305406</v>
      </c>
      <c r="D37" s="175"/>
      <c r="E37" s="175">
        <f>$G$30+$O$30-K37</f>
        <v>561704500.73047876</v>
      </c>
      <c r="F37" s="175"/>
      <c r="G37" s="176">
        <f>E37/C37</f>
        <v>1839.205846415849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333303</v>
      </c>
      <c r="D44" s="168"/>
      <c r="E44" s="63"/>
      <c r="F44" s="169">
        <f>$K$30</f>
        <v>0</v>
      </c>
      <c r="G44" s="170"/>
      <c r="H44" s="170">
        <f>$L$23</f>
        <v>27897</v>
      </c>
      <c r="I44" s="170"/>
      <c r="J44" s="170"/>
      <c r="K44" s="171">
        <f>$C$44-$H$44+$F$44+$O$44</f>
        <v>305406</v>
      </c>
      <c r="L44" s="171"/>
      <c r="M44" s="64">
        <f>SUM($K$44)/D10</f>
        <v>0.40720800000000001</v>
      </c>
      <c r="N44" s="65">
        <f>$G$37</f>
        <v>1839.205846415849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FF00"/>
    <pageSetUpPr fitToPage="1"/>
  </sheetPr>
  <dimension ref="B1:Y124"/>
  <sheetViews>
    <sheetView showGridLines="0" topLeftCell="A26" zoomScaleNormal="100" workbookViewId="0">
      <selection activeCell="R45" sqref="R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SUM('0517'!K44:L44)</f>
        <v>305406</v>
      </c>
      <c r="F10" s="42"/>
      <c r="G10" s="12">
        <f>SUM('0517'!N44)</f>
        <v>1839.205846415849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305406</v>
      </c>
      <c r="D30" s="175"/>
      <c r="E30" s="176">
        <f>$G$10</f>
        <v>1839.205846415849</v>
      </c>
      <c r="F30" s="176"/>
      <c r="G30" s="175">
        <f>C30*E30</f>
        <v>561704500.73047876</v>
      </c>
      <c r="H30" s="201"/>
      <c r="I30" s="16"/>
      <c r="J30" s="47" t="s">
        <v>11</v>
      </c>
      <c r="K30" s="208">
        <v>55693</v>
      </c>
      <c r="L30" s="209"/>
      <c r="M30" s="210">
        <v>1917.09716662803</v>
      </c>
      <c r="N30" s="211"/>
      <c r="O30" s="175">
        <f>K30*M30</f>
        <v>106768892.50101487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361099</v>
      </c>
      <c r="D37" s="175"/>
      <c r="E37" s="175">
        <f>$G$30+$O$30-K37</f>
        <v>668473393.23149359</v>
      </c>
      <c r="F37" s="175"/>
      <c r="G37" s="176">
        <f>E37/C37</f>
        <v>1851.2191759918846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55714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305406</v>
      </c>
      <c r="D44" s="168"/>
      <c r="E44" s="63"/>
      <c r="F44" s="169">
        <f>$K$30</f>
        <v>55693</v>
      </c>
      <c r="G44" s="170"/>
      <c r="H44" s="170">
        <f>$L$23</f>
        <v>0</v>
      </c>
      <c r="I44" s="170"/>
      <c r="J44" s="170"/>
      <c r="K44" s="171">
        <f>$C$44-$H$44+$F$44+$O$44</f>
        <v>361099</v>
      </c>
      <c r="L44" s="171"/>
      <c r="M44" s="64">
        <f>SUM($K$44)/D10</f>
        <v>0.48146533333333336</v>
      </c>
      <c r="N44" s="65">
        <f>$G$37</f>
        <v>1851.2191759918846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B1:Y124"/>
  <sheetViews>
    <sheetView showGridLines="0" topLeftCell="A14" zoomScaleNormal="100" workbookViewId="0">
      <selection activeCell="R38" sqref="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SUM('0519 (입고)'!K44:L44)</f>
        <v>361099</v>
      </c>
      <c r="F10" s="42"/>
      <c r="G10" s="12">
        <f>SUM('0519 (입고)'!N44)</f>
        <v>1851.2191759918846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63</v>
      </c>
      <c r="L16" s="35">
        <v>11920</v>
      </c>
      <c r="M16" s="102"/>
      <c r="N16" s="91">
        <f>IF(L16="","",($G$10))</f>
        <v>1851.2191759918846</v>
      </c>
      <c r="O16" s="92">
        <f>IF(L16="","",(SUM(M16)-N16))</f>
        <v>-1851.2191759918846</v>
      </c>
      <c r="P16" s="93">
        <f>IF(L16="","",(L16*O16))</f>
        <v>-22066532.577823266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48</v>
      </c>
      <c r="L17" s="35">
        <v>15893</v>
      </c>
      <c r="M17" s="15"/>
      <c r="N17" s="94">
        <f t="shared" ref="N17:N22" si="3">IF(L17="","",($G$10))</f>
        <v>1851.2191759918846</v>
      </c>
      <c r="O17" s="95">
        <f t="shared" ref="O17:O22" si="4">IF(L17="","",(SUM(M17)-N17))</f>
        <v>-1851.2191759918846</v>
      </c>
      <c r="P17" s="96">
        <f t="shared" ref="P17:P22" si="5">IF(L17="","",(L17*O17))</f>
        <v>-29421426.364039022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68</v>
      </c>
      <c r="L18" s="35">
        <v>27880</v>
      </c>
      <c r="M18" s="15"/>
      <c r="N18" s="94">
        <f t="shared" si="3"/>
        <v>1851.2191759918846</v>
      </c>
      <c r="O18" s="95">
        <f t="shared" si="4"/>
        <v>-1851.2191759918846</v>
      </c>
      <c r="P18" s="96">
        <f t="shared" si="5"/>
        <v>-51611990.626653746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55693</v>
      </c>
      <c r="M23" s="89"/>
      <c r="N23" s="89"/>
      <c r="O23" s="89"/>
      <c r="P23" s="90">
        <f>SUM(P16:P22)</f>
        <v>-103099949.56851603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305406</v>
      </c>
      <c r="D30" s="175"/>
      <c r="E30" s="176">
        <f>$G$10</f>
        <v>1851.2191759918846</v>
      </c>
      <c r="F30" s="176"/>
      <c r="G30" s="175">
        <f>C30*E30</f>
        <v>565373443.66297758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305406</v>
      </c>
      <c r="D37" s="175"/>
      <c r="E37" s="175">
        <f>$G$30+$O$30-K37</f>
        <v>565373443.66297758</v>
      </c>
      <c r="F37" s="175"/>
      <c r="G37" s="176">
        <f>E37/C37</f>
        <v>1851.2191759918849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55714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361099</v>
      </c>
      <c r="D44" s="168"/>
      <c r="E44" s="63"/>
      <c r="F44" s="169">
        <f>$K$30</f>
        <v>0</v>
      </c>
      <c r="G44" s="170"/>
      <c r="H44" s="170">
        <f>$L$23</f>
        <v>55693</v>
      </c>
      <c r="I44" s="170"/>
      <c r="J44" s="170"/>
      <c r="K44" s="171">
        <f>$C$44-$H$44+$F$44+$O$44</f>
        <v>305406</v>
      </c>
      <c r="L44" s="171"/>
      <c r="M44" s="64">
        <f>SUM($K$44)/D10</f>
        <v>0.40720800000000001</v>
      </c>
      <c r="N44" s="65">
        <f>$G$37</f>
        <v>1851.2191759918849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FFC000"/>
    <pageSetUpPr fitToPage="1"/>
  </sheetPr>
  <dimension ref="B1:Y124"/>
  <sheetViews>
    <sheetView showGridLines="0" topLeftCell="A25" zoomScaleNormal="100" workbookViewId="0">
      <selection activeCell="R47" sqref="R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SUM('0519'!K44:L44)</f>
        <v>305406</v>
      </c>
      <c r="F10" s="42"/>
      <c r="G10" s="12">
        <f>SUM('0519'!N44)</f>
        <v>1851.2191759918849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1851.2191759918849</v>
      </c>
      <c r="O16" s="92">
        <f>IF(L16="","",(SUM(M16)-N16))</f>
        <v>-1851.2191759918849</v>
      </c>
      <c r="P16" s="93">
        <f>IF(L16="","",(L16*O16))</f>
        <v>-14809753.407935079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-14809753.407935079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297406</v>
      </c>
      <c r="D30" s="175"/>
      <c r="E30" s="176">
        <f>$G$10</f>
        <v>1851.2191759918849</v>
      </c>
      <c r="F30" s="176"/>
      <c r="G30" s="175">
        <f>C30*E30</f>
        <v>550563690.25504255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297406</v>
      </c>
      <c r="D37" s="175"/>
      <c r="E37" s="175">
        <f>$G$30+$O$30-K37</f>
        <v>550563690.25504255</v>
      </c>
      <c r="F37" s="175"/>
      <c r="G37" s="176">
        <f>E37/C37</f>
        <v>1851.2191759918851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46164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305406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297120</v>
      </c>
      <c r="L44" s="171"/>
      <c r="M44" s="64">
        <f>SUM($K$44)/D10</f>
        <v>0.39616000000000001</v>
      </c>
      <c r="N44" s="65">
        <f>$G$37</f>
        <v>1851.2191759918851</v>
      </c>
      <c r="O44" s="101">
        <v>-286</v>
      </c>
      <c r="P44" s="22"/>
      <c r="Q44" s="136">
        <v>46165</v>
      </c>
      <c r="R44" s="132" t="s">
        <v>45</v>
      </c>
      <c r="S44" s="122">
        <v>28000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B1:Y124"/>
  <sheetViews>
    <sheetView showGridLines="0" topLeftCell="A31" zoomScaleNormal="100" workbookViewId="0">
      <selection activeCell="R38" sqref="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SUM('0522'!K44:L44)</f>
        <v>297120</v>
      </c>
      <c r="F10" s="42"/>
      <c r="G10" s="12">
        <f>SUM('0522'!N44)</f>
        <v>1851.2191759918851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68</v>
      </c>
      <c r="L16" s="35">
        <v>28000</v>
      </c>
      <c r="M16" s="102"/>
      <c r="N16" s="91">
        <f>IF(L16="","",($G$10))</f>
        <v>1851.2191759918851</v>
      </c>
      <c r="O16" s="92">
        <f>IF(L16="","",(SUM(M16)-N16))</f>
        <v>-1851.2191759918851</v>
      </c>
      <c r="P16" s="93">
        <f>IF(L16="","",(L16*O16))</f>
        <v>-51834136.927772783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63</v>
      </c>
      <c r="L17" s="35">
        <v>28000</v>
      </c>
      <c r="M17" s="15"/>
      <c r="N17" s="94">
        <f t="shared" ref="N17:N22" si="3">IF(L17="","",($G$10))</f>
        <v>1851.2191759918851</v>
      </c>
      <c r="O17" s="95">
        <f t="shared" ref="O17:O22" si="4">IF(L17="","",(SUM(M17)-N17))</f>
        <v>-1851.2191759918851</v>
      </c>
      <c r="P17" s="96">
        <f t="shared" ref="P17:P22" si="5">IF(L17="","",(L17*O17))</f>
        <v>-51834136.927772783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56000</v>
      </c>
      <c r="M23" s="89"/>
      <c r="N23" s="89"/>
      <c r="O23" s="89"/>
      <c r="P23" s="90">
        <f>SUM(P16:P22)</f>
        <v>-103668273.85554557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241120</v>
      </c>
      <c r="D30" s="175"/>
      <c r="E30" s="176">
        <f>$G$10</f>
        <v>1851.2191759918851</v>
      </c>
      <c r="F30" s="176"/>
      <c r="G30" s="175">
        <f>C30*E30</f>
        <v>446365967.71516335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241120</v>
      </c>
      <c r="D37" s="175"/>
      <c r="E37" s="175">
        <f>$G$30+$O$30-K37</f>
        <v>446365967.71516335</v>
      </c>
      <c r="F37" s="175"/>
      <c r="G37" s="176">
        <f>E37/C37</f>
        <v>1851.2191759918851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46164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297120</v>
      </c>
      <c r="D44" s="168"/>
      <c r="E44" s="63"/>
      <c r="F44" s="169">
        <f>$K$30</f>
        <v>0</v>
      </c>
      <c r="G44" s="170"/>
      <c r="H44" s="170">
        <f>$L$23</f>
        <v>56000</v>
      </c>
      <c r="I44" s="170"/>
      <c r="J44" s="170"/>
      <c r="K44" s="171">
        <f>$C$44-$H$44+$F$44+$O$44</f>
        <v>241120</v>
      </c>
      <c r="L44" s="171"/>
      <c r="M44" s="64">
        <f>SUM($K$44)/D10</f>
        <v>0.32149333333333335</v>
      </c>
      <c r="N44" s="65">
        <f>$G$37</f>
        <v>1851.2191759918851</v>
      </c>
      <c r="O44" s="101"/>
      <c r="P44" s="22"/>
      <c r="Q44" s="136">
        <v>46165</v>
      </c>
      <c r="R44" s="132" t="s">
        <v>45</v>
      </c>
      <c r="S44" s="122">
        <v>28000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B1:Y124"/>
  <sheetViews>
    <sheetView showGridLines="0" topLeftCell="A31" zoomScaleNormal="100" workbookViewId="0">
      <selection activeCell="E10" sqref="E1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SUM('0527'!K44:L44)</f>
        <v>241120</v>
      </c>
      <c r="F10" s="42"/>
      <c r="G10" s="12">
        <f>SUM('0527'!N44)</f>
        <v>1851.2191759918851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45</v>
      </c>
      <c r="L16" s="35">
        <v>28000</v>
      </c>
      <c r="M16" s="102"/>
      <c r="N16" s="91">
        <f>IF(L16="","",($G$10))</f>
        <v>1851.2191759918851</v>
      </c>
      <c r="O16" s="92">
        <f>IF(L16="","",(SUM(M16)-N16))</f>
        <v>-1851.2191759918851</v>
      </c>
      <c r="P16" s="93">
        <f>IF(L16="","",(L16*O16))</f>
        <v>-51834136.927772783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-51834136.927772783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213120</v>
      </c>
      <c r="D30" s="175"/>
      <c r="E30" s="176">
        <f>$G$10</f>
        <v>1851.2191759918851</v>
      </c>
      <c r="F30" s="176"/>
      <c r="G30" s="175">
        <f>C30*E30</f>
        <v>394531830.78739053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213120</v>
      </c>
      <c r="D37" s="175"/>
      <c r="E37" s="175">
        <f>$G$30+$O$30-K37</f>
        <v>394531830.78739053</v>
      </c>
      <c r="F37" s="175"/>
      <c r="G37" s="176">
        <f>E37/C37</f>
        <v>1851.2191759918851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46164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241120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213120</v>
      </c>
      <c r="L44" s="171"/>
      <c r="M44" s="64">
        <f>SUM($K$44)/D10</f>
        <v>0.28416000000000002</v>
      </c>
      <c r="N44" s="65">
        <f>$G$37</f>
        <v>1851.2191759918851</v>
      </c>
      <c r="O44" s="101"/>
      <c r="P44" s="22"/>
      <c r="Q44" s="136">
        <v>46165</v>
      </c>
      <c r="R44" s="132" t="s">
        <v>45</v>
      </c>
      <c r="S44" s="122">
        <v>28000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9" tint="0.79998168889431442"/>
    <pageSetUpPr fitToPage="1"/>
  </sheetPr>
  <dimension ref="B1:Y124"/>
  <sheetViews>
    <sheetView showGridLines="0" topLeftCell="A25" zoomScaleNormal="100" workbookViewId="0">
      <selection activeCell="K35" sqref="K35:M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SUM('0528'!K44:L44)</f>
        <v>213120</v>
      </c>
      <c r="F10" s="42"/>
      <c r="G10" s="12">
        <f>SUM('0528'!N44)</f>
        <v>1851.2191759918851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213120</v>
      </c>
      <c r="D30" s="175"/>
      <c r="E30" s="176">
        <f>$G$10</f>
        <v>1851.2191759918851</v>
      </c>
      <c r="F30" s="176"/>
      <c r="G30" s="175">
        <f>C30*E30</f>
        <v>394531830.78739053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42" t="s">
        <v>106</v>
      </c>
      <c r="L35" s="17" t="s">
        <v>107</v>
      </c>
      <c r="M35" s="142" t="s">
        <v>108</v>
      </c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K36" s="145"/>
      <c r="L36" s="146"/>
      <c r="M36" s="145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213120</v>
      </c>
      <c r="D37" s="175"/>
      <c r="E37" s="175">
        <f>$G$30+$O$30-K37-L37-M37</f>
        <v>361900751.11245435</v>
      </c>
      <c r="F37" s="175"/>
      <c r="G37" s="176">
        <f>E37/C37</f>
        <v>1698.107878718348</v>
      </c>
      <c r="H37" s="177"/>
      <c r="I37" s="16"/>
      <c r="J37" s="17"/>
      <c r="K37" s="141">
        <v>14497770</v>
      </c>
      <c r="L37" s="146">
        <v>18133309.674936179</v>
      </c>
      <c r="M37" s="141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46164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213120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213120</v>
      </c>
      <c r="L44" s="171"/>
      <c r="M44" s="64">
        <f>SUM($K$44)/D10</f>
        <v>0.28416000000000002</v>
      </c>
      <c r="N44" s="65">
        <f>$G$37</f>
        <v>1698.107878718348</v>
      </c>
      <c r="O44" s="101"/>
      <c r="P44" s="22"/>
      <c r="Q44" s="136">
        <v>46165</v>
      </c>
      <c r="R44" s="132" t="s">
        <v>45</v>
      </c>
      <c r="S44" s="122">
        <v>28000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B1:Y124"/>
  <sheetViews>
    <sheetView showGridLines="0" topLeftCell="A7" zoomScaleNormal="100" workbookViewId="0">
      <selection activeCell="P47" sqref="P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SUM('0601 (기초)'!K44:L44)</f>
        <v>213120</v>
      </c>
      <c r="F10" s="42"/>
      <c r="G10" s="12">
        <f>SUM('0601 (기초)'!N44)</f>
        <v>1698.107878718348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213120</v>
      </c>
      <c r="D30" s="175"/>
      <c r="E30" s="176">
        <f>$G$10</f>
        <v>1698.107878718348</v>
      </c>
      <c r="F30" s="176"/>
      <c r="G30" s="175">
        <f>C30*E30</f>
        <v>361900751.11245435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42"/>
      <c r="L35" s="142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K36" s="127"/>
      <c r="L36" s="17"/>
      <c r="M36" s="17"/>
      <c r="N36" s="17"/>
      <c r="O36" s="18"/>
      <c r="P36" s="18"/>
      <c r="R36" s="172">
        <v>46161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213120</v>
      </c>
      <c r="D37" s="175"/>
      <c r="E37" s="175">
        <f>$G$30+$O$30</f>
        <v>361900751.11245435</v>
      </c>
      <c r="F37" s="175"/>
      <c r="G37" s="176">
        <f>E37/C37</f>
        <v>1698.107878718348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>
        <v>46164</v>
      </c>
      <c r="R43" s="132" t="s">
        <v>45</v>
      </c>
      <c r="S43" s="122">
        <v>28000</v>
      </c>
      <c r="T43" s="131" t="s">
        <v>58</v>
      </c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213120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213120</v>
      </c>
      <c r="L44" s="171"/>
      <c r="M44" s="64">
        <f>SUM($K$44)/D10</f>
        <v>0.28416000000000002</v>
      </c>
      <c r="N44" s="65">
        <f>$G$37</f>
        <v>1698.107878718348</v>
      </c>
      <c r="O44" s="101"/>
      <c r="P44" s="22"/>
      <c r="Q44" s="136">
        <v>46165</v>
      </c>
      <c r="R44" s="132" t="s">
        <v>45</v>
      </c>
      <c r="S44" s="122">
        <v>28000</v>
      </c>
      <c r="T44" s="131" t="s">
        <v>58</v>
      </c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B1:Y124"/>
  <sheetViews>
    <sheetView showGridLines="0" topLeftCell="A7" zoomScaleNormal="100" workbookViewId="0">
      <selection activeCell="Q20" sqref="Q2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SUM('0601'!K44:L44)</f>
        <v>213120</v>
      </c>
      <c r="F10" s="42"/>
      <c r="G10" s="12">
        <f>SUM('0601'!N44)</f>
        <v>1698.107878718348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100</v>
      </c>
      <c r="L16" s="35">
        <v>16000</v>
      </c>
      <c r="M16" s="102"/>
      <c r="N16" s="91">
        <f>IF(L16="","",($G$10))</f>
        <v>1698.107878718348</v>
      </c>
      <c r="O16" s="92">
        <f>IF(L16="","",(SUM(M16)-N16))</f>
        <v>-1698.107878718348</v>
      </c>
      <c r="P16" s="93">
        <f>IF(L16="","",(L16*O16))</f>
        <v>-27169726.059493568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73</v>
      </c>
      <c r="L17" s="35">
        <v>12000</v>
      </c>
      <c r="M17" s="15"/>
      <c r="N17" s="94">
        <f t="shared" ref="N17:N22" si="3">IF(L17="","",($G$10))</f>
        <v>1698.107878718348</v>
      </c>
      <c r="O17" s="95">
        <f t="shared" ref="O17:O22" si="4">IF(L17="","",(SUM(M17)-N17))</f>
        <v>-1698.107878718348</v>
      </c>
      <c r="P17" s="96">
        <f t="shared" ref="P17:P22" si="5">IF(L17="","",(L17*O17))</f>
        <v>-20377294.544620175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-47547020.604113743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185120</v>
      </c>
      <c r="D30" s="175"/>
      <c r="E30" s="176">
        <f>$G$10</f>
        <v>1698.107878718348</v>
      </c>
      <c r="F30" s="176"/>
      <c r="G30" s="175">
        <f>C30*E30</f>
        <v>314353730.5083406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K36" s="17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185120</v>
      </c>
      <c r="D37" s="175"/>
      <c r="E37" s="175">
        <f>$G$30+$O$30-K37</f>
        <v>314353730.5083406</v>
      </c>
      <c r="F37" s="175"/>
      <c r="G37" s="176">
        <f>E37/C37</f>
        <v>1698.107878718348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213120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187296</v>
      </c>
      <c r="L44" s="171"/>
      <c r="M44" s="64">
        <f>SUM($K$44)/D10</f>
        <v>0.24972800000000001</v>
      </c>
      <c r="N44" s="65">
        <f>$G$37</f>
        <v>1698.107878718348</v>
      </c>
      <c r="O44" s="101">
        <v>2176</v>
      </c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FFFF00"/>
    <pageSetUpPr fitToPage="1"/>
  </sheetPr>
  <dimension ref="B1:Y124"/>
  <sheetViews>
    <sheetView showGridLines="0" topLeftCell="A24" zoomScaleNormal="100" workbookViewId="0">
      <selection activeCell="R41" sqref="R41:S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SUM('0602'!K44:L44)</f>
        <v>187296</v>
      </c>
      <c r="F10" s="42"/>
      <c r="G10" s="12">
        <f>SUM('0602'!N44)</f>
        <v>1698.107878718348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187296</v>
      </c>
      <c r="D30" s="175"/>
      <c r="E30" s="176">
        <f>$G$10</f>
        <v>1698.107878718348</v>
      </c>
      <c r="F30" s="176"/>
      <c r="G30" s="175">
        <f>C30*E30</f>
        <v>318048813.25243169</v>
      </c>
      <c r="H30" s="201"/>
      <c r="I30" s="16"/>
      <c r="J30" s="47" t="s">
        <v>11</v>
      </c>
      <c r="K30" s="208">
        <v>107498</v>
      </c>
      <c r="L30" s="209"/>
      <c r="M30" s="210">
        <v>1918.9835828448499</v>
      </c>
      <c r="N30" s="211"/>
      <c r="O30" s="175">
        <f>K30*M30</f>
        <v>206286897.18865567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294794</v>
      </c>
      <c r="D37" s="175"/>
      <c r="E37" s="175">
        <f>$G$30+$O$30-K37</f>
        <v>524335710.44108737</v>
      </c>
      <c r="F37" s="175"/>
      <c r="G37" s="176">
        <f>E37/C37</f>
        <v>1778.6512291331824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187296</v>
      </c>
      <c r="D44" s="168"/>
      <c r="E44" s="63"/>
      <c r="F44" s="169">
        <f>$K$30</f>
        <v>107498</v>
      </c>
      <c r="G44" s="170"/>
      <c r="H44" s="170">
        <f>$L$23</f>
        <v>0</v>
      </c>
      <c r="I44" s="170"/>
      <c r="J44" s="170"/>
      <c r="K44" s="171">
        <f>$C$44-$H$44+$F$44+$O$44</f>
        <v>294794</v>
      </c>
      <c r="L44" s="171"/>
      <c r="M44" s="64">
        <f>SUM($K$44)/D10</f>
        <v>0.39305866666666667</v>
      </c>
      <c r="N44" s="65">
        <f>$G$37</f>
        <v>1778.6512291331824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B1:Y124"/>
  <sheetViews>
    <sheetView showGridLines="0" topLeftCell="A13" zoomScaleNormal="100" workbookViewId="0">
      <selection activeCell="L17" sqref="L1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SUM('0604 (입고)'!K44:L44)</f>
        <v>294794</v>
      </c>
      <c r="F10" s="42"/>
      <c r="G10" s="12">
        <f>SUM('0604 (입고)'!N44)</f>
        <v>1778.6512291331824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83</v>
      </c>
      <c r="L16" s="35">
        <v>23898</v>
      </c>
      <c r="M16" s="102"/>
      <c r="N16" s="91">
        <f>IF(L16="","",($G$10))</f>
        <v>1778.6512291331824</v>
      </c>
      <c r="O16" s="92">
        <f>IF(L16="","",(SUM(M16)-N16))</f>
        <v>-1778.6512291331824</v>
      </c>
      <c r="P16" s="93">
        <f>IF(L16="","",(L16*O16))</f>
        <v>-42506207.073824793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68</v>
      </c>
      <c r="L17" s="35">
        <v>28000</v>
      </c>
      <c r="M17" s="15"/>
      <c r="N17" s="94">
        <f t="shared" ref="N17:N22" si="3">IF(L17="","",($G$10))</f>
        <v>1778.6512291331824</v>
      </c>
      <c r="O17" s="95">
        <f t="shared" ref="O17:O22" si="4">IF(L17="","",(SUM(M17)-N17))</f>
        <v>-1778.6512291331824</v>
      </c>
      <c r="P17" s="96">
        <f t="shared" ref="P17:P22" si="5">IF(L17="","",(L17*O17))</f>
        <v>-49802234.415729105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63</v>
      </c>
      <c r="L18" s="35">
        <v>28000</v>
      </c>
      <c r="M18" s="15"/>
      <c r="N18" s="94">
        <f t="shared" si="3"/>
        <v>1778.6512291331824</v>
      </c>
      <c r="O18" s="95">
        <f t="shared" si="4"/>
        <v>-1778.6512291331824</v>
      </c>
      <c r="P18" s="96">
        <f t="shared" si="5"/>
        <v>-49802234.415729105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48</v>
      </c>
      <c r="L19" s="35">
        <v>28000</v>
      </c>
      <c r="M19" s="15"/>
      <c r="N19" s="94">
        <f t="shared" si="3"/>
        <v>1778.6512291331824</v>
      </c>
      <c r="O19" s="95">
        <f t="shared" si="4"/>
        <v>-1778.6512291331824</v>
      </c>
      <c r="P19" s="96">
        <f t="shared" si="5"/>
        <v>-49802234.415729105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107898</v>
      </c>
      <c r="M23" s="89"/>
      <c r="N23" s="89"/>
      <c r="O23" s="89"/>
      <c r="P23" s="90">
        <f>SUM(P16:P22)</f>
        <v>-191912910.32101211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186896</v>
      </c>
      <c r="D30" s="175"/>
      <c r="E30" s="176">
        <f>$G$10</f>
        <v>1778.6512291331824</v>
      </c>
      <c r="F30" s="176"/>
      <c r="G30" s="175">
        <f>C30*E30</f>
        <v>332422800.12007523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186896</v>
      </c>
      <c r="D37" s="175"/>
      <c r="E37" s="175">
        <f>$G$30+$O$30-K37</f>
        <v>332422800.12007523</v>
      </c>
      <c r="F37" s="175"/>
      <c r="G37" s="176">
        <f>E37/C37</f>
        <v>1778.6512291331821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294794</v>
      </c>
      <c r="D44" s="168"/>
      <c r="E44" s="63"/>
      <c r="F44" s="169">
        <f>$K$30</f>
        <v>0</v>
      </c>
      <c r="G44" s="170"/>
      <c r="H44" s="170">
        <f>$L$23</f>
        <v>107898</v>
      </c>
      <c r="I44" s="170"/>
      <c r="J44" s="170"/>
      <c r="K44" s="171">
        <f>$C$44-$H$44+$F$44+$O$44</f>
        <v>186896</v>
      </c>
      <c r="L44" s="171"/>
      <c r="M44" s="64">
        <f>SUM($K$44)/D10</f>
        <v>0.24919466666666668</v>
      </c>
      <c r="N44" s="65">
        <f>$G$37</f>
        <v>1778.6512291331821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FFFF00"/>
    <pageSetUpPr fitToPage="1"/>
  </sheetPr>
  <dimension ref="B1:Y124"/>
  <sheetViews>
    <sheetView showGridLines="0" topLeftCell="A16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SUM('0604'!K44:L44)</f>
        <v>186896</v>
      </c>
      <c r="F10" s="42"/>
      <c r="G10" s="12">
        <f>SUM('0604'!N44)</f>
        <v>1778.6512291331821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186896</v>
      </c>
      <c r="D30" s="175"/>
      <c r="E30" s="176">
        <f>$G$10</f>
        <v>1778.6512291331821</v>
      </c>
      <c r="F30" s="176"/>
      <c r="G30" s="175">
        <f>C30*E30</f>
        <v>332422800.12007523</v>
      </c>
      <c r="H30" s="201"/>
      <c r="I30" s="16"/>
      <c r="J30" s="47" t="s">
        <v>11</v>
      </c>
      <c r="K30" s="208">
        <v>29877</v>
      </c>
      <c r="L30" s="209"/>
      <c r="M30" s="210">
        <v>1918.9835828448499</v>
      </c>
      <c r="N30" s="211"/>
      <c r="O30" s="175">
        <f>K30*M30</f>
        <v>57333472.504655585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216773</v>
      </c>
      <c r="D37" s="175"/>
      <c r="E37" s="175">
        <f>$G$30+$O$30-K37</f>
        <v>389756272.62473083</v>
      </c>
      <c r="F37" s="175"/>
      <c r="G37" s="176">
        <f>E37/C37</f>
        <v>1797.9927049251098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186896</v>
      </c>
      <c r="D44" s="168"/>
      <c r="E44" s="63"/>
      <c r="F44" s="169">
        <f>$K$30</f>
        <v>29877</v>
      </c>
      <c r="G44" s="170"/>
      <c r="H44" s="170">
        <f>$L$23</f>
        <v>0</v>
      </c>
      <c r="I44" s="170"/>
      <c r="J44" s="170"/>
      <c r="K44" s="171">
        <f>$C$44-$H$44+$F$44+$O$44</f>
        <v>216773</v>
      </c>
      <c r="L44" s="171"/>
      <c r="M44" s="64">
        <f>SUM($K$44)/D10</f>
        <v>0.28903066666666666</v>
      </c>
      <c r="N44" s="65">
        <f>$G$37</f>
        <v>1797.9927049251098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B1:Y124"/>
  <sheetViews>
    <sheetView showGridLines="0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SUM('0605 (입고)'!K44:L44)</f>
        <v>216773</v>
      </c>
      <c r="F10" s="42"/>
      <c r="G10" s="12">
        <f>SUM('0605 (입고)'!N44)</f>
        <v>1797.9927049251098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83</v>
      </c>
      <c r="L16" s="35">
        <v>29877</v>
      </c>
      <c r="M16" s="102"/>
      <c r="N16" s="91">
        <f>IF(L16="","",($G$10))</f>
        <v>1797.9927049251098</v>
      </c>
      <c r="O16" s="92">
        <f>IF(L16="","",(SUM(M16)-N16))</f>
        <v>-1797.9927049251098</v>
      </c>
      <c r="P16" s="93">
        <f>IF(L16="","",(L16*O16))</f>
        <v>-53718628.045047507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29877</v>
      </c>
      <c r="M23" s="89"/>
      <c r="N23" s="89"/>
      <c r="O23" s="89"/>
      <c r="P23" s="90">
        <f>SUM(P16:P22)</f>
        <v>-53718628.045047507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186896</v>
      </c>
      <c r="D30" s="175"/>
      <c r="E30" s="176">
        <f>$G$10</f>
        <v>1797.9927049251098</v>
      </c>
      <c r="F30" s="176"/>
      <c r="G30" s="175">
        <f>C30*E30</f>
        <v>336037644.5796833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186896</v>
      </c>
      <c r="D37" s="175"/>
      <c r="E37" s="175">
        <f>$G$30+$O$30-K37</f>
        <v>336037644.5796833</v>
      </c>
      <c r="F37" s="175"/>
      <c r="G37" s="176">
        <f>E37/C37</f>
        <v>1797.9927049251098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216773</v>
      </c>
      <c r="D44" s="168"/>
      <c r="E44" s="63"/>
      <c r="F44" s="169">
        <f>$K$30</f>
        <v>0</v>
      </c>
      <c r="G44" s="170"/>
      <c r="H44" s="170">
        <f>$L$23</f>
        <v>29877</v>
      </c>
      <c r="I44" s="170"/>
      <c r="J44" s="170"/>
      <c r="K44" s="171">
        <f>$C$44-$H$44+$F$44+$O$44</f>
        <v>186896</v>
      </c>
      <c r="L44" s="171"/>
      <c r="M44" s="64">
        <f>SUM($K$44)/D10</f>
        <v>0.24919466666666668</v>
      </c>
      <c r="N44" s="65">
        <f>$G$37</f>
        <v>1797.9927049251098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FFFF00"/>
    <pageSetUpPr fitToPage="1"/>
  </sheetPr>
  <dimension ref="B1:Y124"/>
  <sheetViews>
    <sheetView showGridLines="0" topLeftCell="A17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SUM('0605'!K44:L44)</f>
        <v>186896</v>
      </c>
      <c r="F10" s="42"/>
      <c r="G10" s="12">
        <f>SUM('0605'!N44)</f>
        <v>1797.9927049251098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186896</v>
      </c>
      <c r="D30" s="175"/>
      <c r="E30" s="176">
        <f>$G$10</f>
        <v>1797.9927049251098</v>
      </c>
      <c r="F30" s="176"/>
      <c r="G30" s="175">
        <f>C30*E30</f>
        <v>336037644.5796833</v>
      </c>
      <c r="H30" s="201"/>
      <c r="I30" s="16"/>
      <c r="J30" s="47" t="s">
        <v>11</v>
      </c>
      <c r="K30" s="208">
        <v>147762</v>
      </c>
      <c r="L30" s="209"/>
      <c r="M30" s="210">
        <v>1918.9835828448499</v>
      </c>
      <c r="N30" s="211"/>
      <c r="O30" s="175">
        <f>K30*M30</f>
        <v>283552852.16832072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334658</v>
      </c>
      <c r="D37" s="175"/>
      <c r="E37" s="175">
        <f>$G$30+$O$30-K37</f>
        <v>619590496.74800396</v>
      </c>
      <c r="F37" s="175"/>
      <c r="G37" s="176">
        <f>E37/C37</f>
        <v>1851.4139711227699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186896</v>
      </c>
      <c r="D44" s="168"/>
      <c r="E44" s="63"/>
      <c r="F44" s="169">
        <f>$K$30</f>
        <v>147762</v>
      </c>
      <c r="G44" s="170"/>
      <c r="H44" s="170">
        <f>$L$23</f>
        <v>0</v>
      </c>
      <c r="I44" s="170"/>
      <c r="J44" s="170"/>
      <c r="K44" s="171">
        <f>$C$44-$H$44+$F$44+$O$44</f>
        <v>334658</v>
      </c>
      <c r="L44" s="171"/>
      <c r="M44" s="64">
        <f>SUM($K$44)/D10</f>
        <v>0.44621066666666664</v>
      </c>
      <c r="N44" s="65">
        <f>$G$37</f>
        <v>1851.4139711227699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B1:Y124"/>
  <sheetViews>
    <sheetView showGridLines="0" topLeftCell="A10" zoomScaleNormal="100" workbookViewId="0">
      <selection activeCell="K22" sqref="K2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SUM('0609 (입고)'!K44:L44)</f>
        <v>334658</v>
      </c>
      <c r="F10" s="42"/>
      <c r="G10" s="12">
        <f>SUM('0609 (입고)'!N44)</f>
        <v>1851.4139711227699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100</v>
      </c>
      <c r="L16" s="35">
        <v>8000</v>
      </c>
      <c r="M16" s="102"/>
      <c r="N16" s="91">
        <f>IF(L16="","",($G$10))</f>
        <v>1851.4139711227699</v>
      </c>
      <c r="O16" s="92">
        <f>IF(L16="","",(SUM(M16)-N16))</f>
        <v>-1851.4139711227699</v>
      </c>
      <c r="P16" s="93">
        <f>IF(L16="","",(L16*O16))</f>
        <v>-14811311.768982159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84</v>
      </c>
      <c r="L17" s="35">
        <v>24000</v>
      </c>
      <c r="M17" s="15"/>
      <c r="N17" s="94">
        <f t="shared" ref="N17:N22" si="3">IF(L17="","",($G$10))</f>
        <v>1851.4139711227699</v>
      </c>
      <c r="O17" s="95">
        <f t="shared" ref="O17:O22" si="4">IF(L17="","",(SUM(M17)-N17))</f>
        <v>-1851.4139711227699</v>
      </c>
      <c r="P17" s="96">
        <f t="shared" ref="P17:P22" si="5">IF(L17="","",(L17*O17))</f>
        <v>-44433935.306946479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72</v>
      </c>
      <c r="L18" s="35">
        <f>32000+28000</f>
        <v>60000</v>
      </c>
      <c r="M18" s="15"/>
      <c r="N18" s="94">
        <f t="shared" si="3"/>
        <v>1851.4139711227699</v>
      </c>
      <c r="O18" s="95">
        <f t="shared" si="4"/>
        <v>-1851.4139711227699</v>
      </c>
      <c r="P18" s="96">
        <f t="shared" si="5"/>
        <v>-111084838.2673662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68</v>
      </c>
      <c r="L19" s="35">
        <v>20000</v>
      </c>
      <c r="M19" s="15"/>
      <c r="N19" s="94">
        <f t="shared" si="3"/>
        <v>1851.4139711227699</v>
      </c>
      <c r="O19" s="95">
        <f t="shared" si="4"/>
        <v>-1851.4139711227699</v>
      </c>
      <c r="P19" s="96">
        <f t="shared" si="5"/>
        <v>-37028279.4224554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 t="s">
        <v>85</v>
      </c>
      <c r="L20" s="35">
        <v>28000</v>
      </c>
      <c r="M20" s="15"/>
      <c r="N20" s="94">
        <f t="shared" si="3"/>
        <v>1851.4139711227699</v>
      </c>
      <c r="O20" s="95">
        <f t="shared" si="4"/>
        <v>-1851.4139711227699</v>
      </c>
      <c r="P20" s="96">
        <f t="shared" si="5"/>
        <v>-51839591.191437557</v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 t="s">
        <v>59</v>
      </c>
      <c r="L21" s="35">
        <v>8000</v>
      </c>
      <c r="M21" s="15"/>
      <c r="N21" s="94">
        <f t="shared" si="3"/>
        <v>1851.4139711227699</v>
      </c>
      <c r="O21" s="95">
        <f t="shared" si="4"/>
        <v>-1851.4139711227699</v>
      </c>
      <c r="P21" s="96">
        <f t="shared" si="5"/>
        <v>-14811311.768982159</v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148000</v>
      </c>
      <c r="M23" s="89"/>
      <c r="N23" s="89"/>
      <c r="O23" s="89"/>
      <c r="P23" s="90">
        <f>SUM(P16:P22)</f>
        <v>-274009267.72616994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186658</v>
      </c>
      <c r="D30" s="175"/>
      <c r="E30" s="176">
        <f>$G$10</f>
        <v>1851.4139711227699</v>
      </c>
      <c r="F30" s="176"/>
      <c r="G30" s="175">
        <f>C30*E30</f>
        <v>345581229.02183396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186658</v>
      </c>
      <c r="D37" s="175"/>
      <c r="E37" s="175">
        <f>$G$30+$O$30-K37</f>
        <v>345581229.02183396</v>
      </c>
      <c r="F37" s="175"/>
      <c r="G37" s="176">
        <f>E37/C37</f>
        <v>1851.4139711227697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334658</v>
      </c>
      <c r="D44" s="168"/>
      <c r="E44" s="63"/>
      <c r="F44" s="169">
        <f>$K$30</f>
        <v>0</v>
      </c>
      <c r="G44" s="170"/>
      <c r="H44" s="170">
        <f>$L$23</f>
        <v>148000</v>
      </c>
      <c r="I44" s="170"/>
      <c r="J44" s="170"/>
      <c r="K44" s="171">
        <f>$C$44-$H$44+$F$44+$O$44</f>
        <v>186658</v>
      </c>
      <c r="L44" s="171"/>
      <c r="M44" s="64">
        <f>SUM($K$44)/D10</f>
        <v>0.24887733333333334</v>
      </c>
      <c r="N44" s="65">
        <f>$G$37</f>
        <v>1851.4139711227697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FF00"/>
    <pageSetUpPr fitToPage="1"/>
  </sheetPr>
  <dimension ref="B1:Y124"/>
  <sheetViews>
    <sheetView showGridLines="0" topLeftCell="A28" zoomScaleNormal="100" workbookViewId="0">
      <selection activeCell="Q35" sqref="Q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SUM('0609'!K44:L44)</f>
        <v>186658</v>
      </c>
      <c r="F10" s="42"/>
      <c r="G10" s="12">
        <f>SUM('0609'!N44)</f>
        <v>1851.4139711227697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186658</v>
      </c>
      <c r="D30" s="175"/>
      <c r="E30" s="176">
        <f>$G$10</f>
        <v>1851.4139711227697</v>
      </c>
      <c r="F30" s="176"/>
      <c r="G30" s="175">
        <f>C30*E30</f>
        <v>345581229.02183396</v>
      </c>
      <c r="H30" s="201"/>
      <c r="I30" s="16"/>
      <c r="J30" s="47" t="s">
        <v>11</v>
      </c>
      <c r="K30" s="208">
        <v>91747</v>
      </c>
      <c r="L30" s="209"/>
      <c r="M30" s="210">
        <v>1912.0883073058901</v>
      </c>
      <c r="N30" s="211"/>
      <c r="O30" s="175">
        <f>K30*M30</f>
        <v>175428365.93039349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278405</v>
      </c>
      <c r="D37" s="175"/>
      <c r="E37" s="175">
        <f>$G$30+$O$30-K37</f>
        <v>521009594.95222747</v>
      </c>
      <c r="F37" s="175"/>
      <c r="G37" s="176">
        <f>E37/C37</f>
        <v>1871.4089005306207</v>
      </c>
      <c r="H37" s="177"/>
      <c r="I37" s="16"/>
      <c r="J37" s="17"/>
      <c r="K37" s="17"/>
      <c r="L37" s="23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186658</v>
      </c>
      <c r="D44" s="168"/>
      <c r="E44" s="63"/>
      <c r="F44" s="169">
        <f>$K$30</f>
        <v>91747</v>
      </c>
      <c r="G44" s="170"/>
      <c r="H44" s="170">
        <f>$L$23</f>
        <v>0</v>
      </c>
      <c r="I44" s="170"/>
      <c r="J44" s="170"/>
      <c r="K44" s="171">
        <f>$C$44-$H$44+$F$44+$O$44</f>
        <v>278405</v>
      </c>
      <c r="L44" s="171"/>
      <c r="M44" s="64">
        <f>SUM($K$44)/D10</f>
        <v>0.37120666666666668</v>
      </c>
      <c r="N44" s="65">
        <f>$G$37</f>
        <v>1871.4089005306207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B1:Y124"/>
  <sheetViews>
    <sheetView showGridLines="0" topLeftCell="A13" zoomScaleNormal="100" workbookViewId="0">
      <selection activeCell="L20" sqref="L2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SUM('0612 (입고)'!K44:L44)</f>
        <v>278405</v>
      </c>
      <c r="F10" s="42"/>
      <c r="G10" s="12">
        <f>SUM('0612 (입고)'!N44)</f>
        <v>1871.4089005306207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72</v>
      </c>
      <c r="L16" s="35">
        <v>20000</v>
      </c>
      <c r="M16" s="102"/>
      <c r="N16" s="91">
        <f>IF(L16="","",($G$10))</f>
        <v>1871.4089005306207</v>
      </c>
      <c r="O16" s="92">
        <f>IF(L16="","",(SUM(M16)-N16))</f>
        <v>-1871.4089005306207</v>
      </c>
      <c r="P16" s="93">
        <f>IF(L16="","",(L16*O16))</f>
        <v>-37428178.010612413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66</v>
      </c>
      <c r="L17" s="35">
        <v>12000</v>
      </c>
      <c r="M17" s="15"/>
      <c r="N17" s="94">
        <f t="shared" ref="N17:N22" si="3">IF(L17="","",($G$10))</f>
        <v>1871.4089005306207</v>
      </c>
      <c r="O17" s="95">
        <f t="shared" ref="O17:O22" si="4">IF(L17="","",(SUM(M17)-N17))</f>
        <v>-1871.4089005306207</v>
      </c>
      <c r="P17" s="96">
        <f t="shared" ref="P17:P22" si="5">IF(L17="","",(L17*O17))</f>
        <v>-22456906.806367449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73</v>
      </c>
      <c r="L18" s="35">
        <v>12000</v>
      </c>
      <c r="M18" s="15"/>
      <c r="N18" s="94">
        <f t="shared" si="3"/>
        <v>1871.4089005306207</v>
      </c>
      <c r="O18" s="95">
        <f t="shared" si="4"/>
        <v>-1871.4089005306207</v>
      </c>
      <c r="P18" s="96">
        <f t="shared" si="5"/>
        <v>-22456906.806367449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65</v>
      </c>
      <c r="L19" s="35">
        <v>16000</v>
      </c>
      <c r="M19" s="15"/>
      <c r="N19" s="94">
        <f t="shared" si="3"/>
        <v>1871.4089005306207</v>
      </c>
      <c r="O19" s="95">
        <f t="shared" si="4"/>
        <v>-1871.4089005306207</v>
      </c>
      <c r="P19" s="96">
        <f t="shared" si="5"/>
        <v>-29942542.408489931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-112284534.03183724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218405</v>
      </c>
      <c r="D30" s="175"/>
      <c r="E30" s="176">
        <f>$G$10</f>
        <v>1871.4089005306207</v>
      </c>
      <c r="F30" s="176"/>
      <c r="G30" s="175">
        <f>C30*E30</f>
        <v>408725060.92039019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218405</v>
      </c>
      <c r="D37" s="175"/>
      <c r="E37" s="175">
        <f>$G$30+$O$30-K37</f>
        <v>408725060.92039019</v>
      </c>
      <c r="F37" s="175"/>
      <c r="G37" s="176">
        <f>E37/C37</f>
        <v>1871.4089005306205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278405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218405</v>
      </c>
      <c r="L44" s="171"/>
      <c r="M44" s="64">
        <f>SUM($K$44)/D10</f>
        <v>0.29120666666666667</v>
      </c>
      <c r="N44" s="65">
        <f>$G$37</f>
        <v>1871.4089005306205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FFFF00"/>
    <pageSetUpPr fitToPage="1"/>
  </sheetPr>
  <dimension ref="B1:Y124"/>
  <sheetViews>
    <sheetView showGridLines="0" topLeftCell="A22" zoomScaleNormal="100" workbookViewId="0">
      <selection activeCell="N32" sqref="N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SUM('0612'!K44:L44)</f>
        <v>218405</v>
      </c>
      <c r="F10" s="42"/>
      <c r="G10" s="12">
        <f>SUM('0612'!N44)</f>
        <v>1871.4089005306205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218405</v>
      </c>
      <c r="D30" s="175"/>
      <c r="E30" s="176">
        <f>$G$10</f>
        <v>1871.4089005306205</v>
      </c>
      <c r="F30" s="176"/>
      <c r="G30" s="175">
        <f>C30*E30</f>
        <v>408725060.92039019</v>
      </c>
      <c r="H30" s="201"/>
      <c r="I30" s="16"/>
      <c r="J30" s="47" t="s">
        <v>11</v>
      </c>
      <c r="K30" s="208">
        <v>55703</v>
      </c>
      <c r="L30" s="209"/>
      <c r="M30" s="210">
        <v>1918.9835828448499</v>
      </c>
      <c r="N30" s="211"/>
      <c r="O30" s="175">
        <f>K30*M30</f>
        <v>106893142.51520668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274108</v>
      </c>
      <c r="D37" s="175"/>
      <c r="E37" s="175">
        <f>$G$30+$O$30-K37</f>
        <v>515618203.43559688</v>
      </c>
      <c r="F37" s="175"/>
      <c r="G37" s="176">
        <f>E37/C37</f>
        <v>1881.076814378263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218405</v>
      </c>
      <c r="D44" s="168"/>
      <c r="E44" s="63"/>
      <c r="F44" s="169">
        <f>$K$30</f>
        <v>55703</v>
      </c>
      <c r="G44" s="170"/>
      <c r="H44" s="170">
        <f>$L$23</f>
        <v>0</v>
      </c>
      <c r="I44" s="170"/>
      <c r="J44" s="170"/>
      <c r="K44" s="171">
        <f>$C$44-$H$44+$F$44+$O$44</f>
        <v>274108</v>
      </c>
      <c r="L44" s="171"/>
      <c r="M44" s="64">
        <f>SUM($K$44)/D10</f>
        <v>0.36547733333333332</v>
      </c>
      <c r="N44" s="65">
        <f>$G$37</f>
        <v>1881.076814378263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B1:Y124"/>
  <sheetViews>
    <sheetView showGridLines="0" topLeftCell="A7" zoomScaleNormal="100" workbookViewId="0">
      <selection activeCell="P47" sqref="P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SUM('0613 (입고)'!K44:L44)</f>
        <v>274108</v>
      </c>
      <c r="F10" s="42"/>
      <c r="G10" s="12">
        <f>SUM('0613 (입고)'!N44)</f>
        <v>1881.076814378263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68</v>
      </c>
      <c r="L16" s="35">
        <v>16000</v>
      </c>
      <c r="M16" s="102"/>
      <c r="N16" s="91">
        <f>IF(L16="","",($G$10))</f>
        <v>1881.076814378263</v>
      </c>
      <c r="O16" s="92">
        <f>IF(L16="","",(SUM(M16)-N16))</f>
        <v>-1881.076814378263</v>
      </c>
      <c r="P16" s="93">
        <f>IF(L16="","",(L16*O16))</f>
        <v>-30097229.030052207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63</v>
      </c>
      <c r="L17" s="35">
        <v>12000</v>
      </c>
      <c r="M17" s="15"/>
      <c r="N17" s="94">
        <f t="shared" ref="N17:N22" si="3">IF(L17="","",($G$10))</f>
        <v>1881.076814378263</v>
      </c>
      <c r="O17" s="95">
        <f t="shared" ref="O17:O22" si="4">IF(L17="","",(SUM(M17)-N17))</f>
        <v>-1881.076814378263</v>
      </c>
      <c r="P17" s="96">
        <f t="shared" ref="P17:P22" si="5">IF(L17="","",(L17*O17))</f>
        <v>-22572921.772539154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 t="s">
        <v>48</v>
      </c>
      <c r="L18" s="35">
        <v>20000</v>
      </c>
      <c r="M18" s="15"/>
      <c r="N18" s="94">
        <f t="shared" si="3"/>
        <v>1881.076814378263</v>
      </c>
      <c r="O18" s="95">
        <f t="shared" si="4"/>
        <v>-1881.076814378263</v>
      </c>
      <c r="P18" s="96">
        <f t="shared" si="5"/>
        <v>-37621536.287565261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99</v>
      </c>
      <c r="L19" s="35">
        <v>8000</v>
      </c>
      <c r="M19" s="15"/>
      <c r="N19" s="94">
        <f t="shared" si="3"/>
        <v>1881.076814378263</v>
      </c>
      <c r="O19" s="95">
        <f t="shared" si="4"/>
        <v>-1881.076814378263</v>
      </c>
      <c r="P19" s="96">
        <f t="shared" si="5"/>
        <v>-15048614.515026104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56000</v>
      </c>
      <c r="M23" s="89"/>
      <c r="N23" s="89"/>
      <c r="O23" s="89"/>
      <c r="P23" s="90">
        <f>SUM(P16:P22)</f>
        <v>-105340301.60518272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218108</v>
      </c>
      <c r="D30" s="175"/>
      <c r="E30" s="176">
        <f>$G$10</f>
        <v>1881.076814378263</v>
      </c>
      <c r="F30" s="176"/>
      <c r="G30" s="175">
        <f>C30*E30</f>
        <v>410277901.83041418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218108</v>
      </c>
      <c r="D37" s="175"/>
      <c r="E37" s="175">
        <f>$G$30+$O$30-K37</f>
        <v>410277901.83041418</v>
      </c>
      <c r="F37" s="175"/>
      <c r="G37" s="176">
        <f>E37/C37</f>
        <v>1881.076814378263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274108</v>
      </c>
      <c r="D44" s="168"/>
      <c r="E44" s="63"/>
      <c r="F44" s="169">
        <f>$K$30</f>
        <v>0</v>
      </c>
      <c r="G44" s="170"/>
      <c r="H44" s="170">
        <f>$L$23</f>
        <v>56000</v>
      </c>
      <c r="I44" s="170"/>
      <c r="J44" s="170"/>
      <c r="K44" s="171">
        <f>$C$44-$H$44+$F$44+$O$44</f>
        <v>218108</v>
      </c>
      <c r="L44" s="171"/>
      <c r="M44" s="64">
        <f>SUM($K$44)/D10</f>
        <v>0.29081066666666666</v>
      </c>
      <c r="N44" s="65">
        <f>$G$37</f>
        <v>1881.076814378263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B1:Y124"/>
  <sheetViews>
    <sheetView showGridLines="0" topLeftCell="A12" zoomScaleNormal="100" workbookViewId="0">
      <selection activeCell="O43" sqref="O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SUM('0613'!K44:L44)</f>
        <v>218108</v>
      </c>
      <c r="F10" s="42"/>
      <c r="G10" s="12">
        <f>SUM('0613'!N44)</f>
        <v>1881.076814378263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1881.076814378263</v>
      </c>
      <c r="O16" s="92">
        <f>IF(L16="","",(SUM(M16)-N16))</f>
        <v>-1881.076814378263</v>
      </c>
      <c r="P16" s="93">
        <f>IF(L16="","",(L16*O16))</f>
        <v>-15048614.515026104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-15048614.515026104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210108</v>
      </c>
      <c r="D30" s="175"/>
      <c r="E30" s="176">
        <f>$G$10</f>
        <v>1881.076814378263</v>
      </c>
      <c r="F30" s="176"/>
      <c r="G30" s="175">
        <f>C30*E30</f>
        <v>395229287.31538808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210108</v>
      </c>
      <c r="D37" s="175"/>
      <c r="E37" s="175">
        <f>$G$30+$O$30-K37</f>
        <v>395229287.31538808</v>
      </c>
      <c r="F37" s="175"/>
      <c r="G37" s="176">
        <f>E37/C37</f>
        <v>1881.076814378263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218108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210108</v>
      </c>
      <c r="L44" s="171"/>
      <c r="M44" s="64">
        <f>SUM($K$44)/D10</f>
        <v>0.280144</v>
      </c>
      <c r="N44" s="65">
        <f>$G$37</f>
        <v>1881.076814378263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FFFF00"/>
    <pageSetUpPr fitToPage="1"/>
  </sheetPr>
  <dimension ref="B1:Y124"/>
  <sheetViews>
    <sheetView showGridLines="0" topLeftCell="A18" zoomScaleNormal="100" workbookViewId="0">
      <selection activeCell="N35" sqref="N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SUM('0616'!K44:L44)</f>
        <v>210108</v>
      </c>
      <c r="F10" s="42"/>
      <c r="G10" s="12">
        <f>SUM('0616'!N44)</f>
        <v>1881.076814378263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210108</v>
      </c>
      <c r="D30" s="175"/>
      <c r="E30" s="176">
        <f>$G$10</f>
        <v>1881.076814378263</v>
      </c>
      <c r="F30" s="176"/>
      <c r="G30" s="175">
        <f>C30*E30</f>
        <v>395229287.31538808</v>
      </c>
      <c r="H30" s="201"/>
      <c r="I30" s="16"/>
      <c r="J30" s="47" t="s">
        <v>11</v>
      </c>
      <c r="K30" s="208">
        <v>27843</v>
      </c>
      <c r="L30" s="209"/>
      <c r="M30" s="210">
        <v>1918.9835828448499</v>
      </c>
      <c r="N30" s="211"/>
      <c r="O30" s="175">
        <f>K30*M30</f>
        <v>53430259.897149153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237951</v>
      </c>
      <c r="D37" s="175"/>
      <c r="E37" s="175">
        <f>$G$30+$O$30-K37</f>
        <v>448659547.21253723</v>
      </c>
      <c r="F37" s="175"/>
      <c r="G37" s="176">
        <f>E37/C37</f>
        <v>1885.5123416692395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210108</v>
      </c>
      <c r="D44" s="168"/>
      <c r="E44" s="63"/>
      <c r="F44" s="169">
        <f>$K$30</f>
        <v>27843</v>
      </c>
      <c r="G44" s="170"/>
      <c r="H44" s="170">
        <f>$L$23</f>
        <v>0</v>
      </c>
      <c r="I44" s="170"/>
      <c r="J44" s="170"/>
      <c r="K44" s="171">
        <f>$C$44-$H$44+$F$44+$O$44</f>
        <v>237951</v>
      </c>
      <c r="L44" s="171"/>
      <c r="M44" s="64">
        <f>SUM($K$44)/D10</f>
        <v>0.31726799999999999</v>
      </c>
      <c r="N44" s="65">
        <f>$G$37</f>
        <v>1885.5123416692395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B1:Y124"/>
  <sheetViews>
    <sheetView showGridLines="0" topLeftCell="A13" zoomScaleNormal="100" workbookViewId="0">
      <selection activeCell="Q44" sqref="Q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SUM('0618 (입고)'!K44:L44)</f>
        <v>237951</v>
      </c>
      <c r="F10" s="42"/>
      <c r="G10" s="12">
        <f>SUM('0618 (입고)'!N44)</f>
        <v>1885.5123416692395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109</v>
      </c>
      <c r="L16" s="35">
        <v>28000</v>
      </c>
      <c r="M16" s="102"/>
      <c r="N16" s="91">
        <f>IF(L16="","",($G$10))</f>
        <v>1885.5123416692395</v>
      </c>
      <c r="O16" s="92">
        <f>IF(L16="","",(SUM(M16)-N16))</f>
        <v>-1885.5123416692395</v>
      </c>
      <c r="P16" s="93">
        <f>IF(L16="","",(L16*O16))</f>
        <v>-52794345.56673871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-52794345.56673871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209951</v>
      </c>
      <c r="D30" s="175"/>
      <c r="E30" s="176">
        <f>$G$10</f>
        <v>1885.5123416692395</v>
      </c>
      <c r="F30" s="176"/>
      <c r="G30" s="175">
        <f>C30*E30</f>
        <v>395865201.6457985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209951</v>
      </c>
      <c r="D37" s="175"/>
      <c r="E37" s="175">
        <f>$G$30+$O$30-K37</f>
        <v>395865201.6457985</v>
      </c>
      <c r="F37" s="175"/>
      <c r="G37" s="176">
        <f>E37/C37</f>
        <v>1885.5123416692395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237951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209951</v>
      </c>
      <c r="L44" s="171"/>
      <c r="M44" s="64">
        <f>SUM($K$44)/D10</f>
        <v>0.27993466666666666</v>
      </c>
      <c r="N44" s="65">
        <f>$G$37</f>
        <v>1885.5123416692395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B1:Y124"/>
  <sheetViews>
    <sheetView showGridLines="0" topLeftCell="A4" zoomScaleNormal="100" workbookViewId="0">
      <selection activeCell="F49" sqref="F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SUM('0618'!K44:L44)</f>
        <v>209951</v>
      </c>
      <c r="F10" s="42"/>
      <c r="G10" s="12">
        <f>SUM('0618'!N44)</f>
        <v>1885.5123416692395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99</v>
      </c>
      <c r="L16" s="35">
        <v>12000</v>
      </c>
      <c r="M16" s="102"/>
      <c r="N16" s="91">
        <f>IF(L16="","",($G$10))</f>
        <v>1885.5123416692395</v>
      </c>
      <c r="O16" s="92">
        <f>IF(L16="","",(SUM(M16)-N16))</f>
        <v>-1885.5123416692395</v>
      </c>
      <c r="P16" s="93">
        <f>IF(L16="","",(L16*O16))</f>
        <v>-22626148.100030873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 t="s">
        <v>48</v>
      </c>
      <c r="L17" s="35">
        <v>16000</v>
      </c>
      <c r="M17" s="15"/>
      <c r="N17" s="94">
        <f t="shared" ref="N17:N22" si="3">IF(L17="","",($G$10))</f>
        <v>1885.5123416692395</v>
      </c>
      <c r="O17" s="95">
        <f t="shared" ref="O17:O22" si="4">IF(L17="","",(SUM(M17)-N17))</f>
        <v>-1885.5123416692395</v>
      </c>
      <c r="P17" s="96">
        <f t="shared" ref="P17:P22" si="5">IF(L17="","",(L17*O17))</f>
        <v>-30168197.466707833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-52794345.56673871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181951</v>
      </c>
      <c r="D30" s="175"/>
      <c r="E30" s="176">
        <f>$G$10</f>
        <v>1885.5123416692395</v>
      </c>
      <c r="F30" s="176"/>
      <c r="G30" s="175">
        <f>C30*E30</f>
        <v>343070856.07905978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181951</v>
      </c>
      <c r="D37" s="175"/>
      <c r="E37" s="175">
        <f>$G$30+$O$30-K37</f>
        <v>343070856.07905978</v>
      </c>
      <c r="F37" s="175"/>
      <c r="G37" s="176">
        <f>E37/C37</f>
        <v>1885.5123416692395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209951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181951</v>
      </c>
      <c r="L44" s="171"/>
      <c r="M44" s="64">
        <f>SUM($K$44)/D10</f>
        <v>0.24260133333333334</v>
      </c>
      <c r="N44" s="65">
        <f>$G$37</f>
        <v>1885.5123416692395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B1:Y124"/>
  <sheetViews>
    <sheetView showGridLines="0" topLeftCell="A9" zoomScaleNormal="100" workbookViewId="0">
      <selection activeCell="L18" sqref="L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SUM('0619'!K44:L44)</f>
        <v>181951</v>
      </c>
      <c r="F10" s="42"/>
      <c r="G10" s="12">
        <f>SUM('0619'!N44)</f>
        <v>1885.5123416692395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1885.5123416692395</v>
      </c>
      <c r="O16" s="92">
        <f>IF(L16="","",(SUM(M16)-N16))</f>
        <v>-1885.5123416692395</v>
      </c>
      <c r="P16" s="93">
        <f>IF(L16="","",(L16*O16))</f>
        <v>-15084098.733353917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-15084098.733353917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173951</v>
      </c>
      <c r="D30" s="175"/>
      <c r="E30" s="176">
        <f>$G$10</f>
        <v>1885.5123416692395</v>
      </c>
      <c r="F30" s="176"/>
      <c r="G30" s="175">
        <f>C30*E30</f>
        <v>327986757.34570587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173951</v>
      </c>
      <c r="D37" s="175"/>
      <c r="E37" s="175">
        <f>$G$30+$O$30-K37</f>
        <v>327986757.34570587</v>
      </c>
      <c r="F37" s="175"/>
      <c r="G37" s="176">
        <f>E37/C37</f>
        <v>1885.5123416692395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181951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173951</v>
      </c>
      <c r="L44" s="171"/>
      <c r="M44" s="64">
        <f>SUM($K$44)/D10</f>
        <v>0.23193466666666668</v>
      </c>
      <c r="N44" s="65">
        <f>$G$37</f>
        <v>1885.5123416692395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B1:Y124"/>
  <sheetViews>
    <sheetView showGridLines="0" topLeftCell="A24" zoomScaleNormal="100" workbookViewId="0">
      <selection activeCell="S42" sqref="S4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SUM('0623'!K44:L44)</f>
        <v>173951</v>
      </c>
      <c r="F10" s="42"/>
      <c r="G10" s="12">
        <f>SUM('0623'!N44)</f>
        <v>1885.5123416692395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110</v>
      </c>
      <c r="L16" s="35">
        <v>28000</v>
      </c>
      <c r="M16" s="102"/>
      <c r="N16" s="91">
        <f>IF(L16="","",($G$10))</f>
        <v>1885.5123416692395</v>
      </c>
      <c r="O16" s="92">
        <f>IF(L16="","",(SUM(M16)-N16))</f>
        <v>-1885.5123416692395</v>
      </c>
      <c r="P16" s="93">
        <f>IF(L16="","",(L16*O16))</f>
        <v>-52794345.56673871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-52794345.56673871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145951</v>
      </c>
      <c r="D30" s="175"/>
      <c r="E30" s="176">
        <f>$G$10</f>
        <v>1885.5123416692395</v>
      </c>
      <c r="F30" s="176"/>
      <c r="G30" s="175">
        <f>C30*E30</f>
        <v>275192411.7789672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145951</v>
      </c>
      <c r="D37" s="175"/>
      <c r="E37" s="175">
        <f>$G$30+$O$30-K37</f>
        <v>275192411.7789672</v>
      </c>
      <c r="F37" s="175"/>
      <c r="G37" s="176">
        <f>E37/C37</f>
        <v>1885.5123416692397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173951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145951</v>
      </c>
      <c r="L44" s="171"/>
      <c r="M44" s="64">
        <f>SUM($K$44)/D10</f>
        <v>0.19460133333333332</v>
      </c>
      <c r="N44" s="65">
        <f>$G$37</f>
        <v>1885.5123416692397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theme="9" tint="0.79998168889431442"/>
    <pageSetUpPr fitToPage="1"/>
  </sheetPr>
  <dimension ref="B1:Y124"/>
  <sheetViews>
    <sheetView showGridLines="0" topLeftCell="B27" zoomScaleNormal="100" workbookViewId="0">
      <selection activeCell="K37" sqref="K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SUM('0630'!K44:L44)</f>
        <v>145951</v>
      </c>
      <c r="F10" s="42"/>
      <c r="G10" s="12">
        <f>SUM('0630'!N44)</f>
        <v>1885.5123416692397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145951</v>
      </c>
      <c r="D30" s="175"/>
      <c r="E30" s="176">
        <f>$G$10</f>
        <v>1885.5123416692397</v>
      </c>
      <c r="F30" s="176"/>
      <c r="G30" s="175">
        <f>C30*E30</f>
        <v>275192411.7789672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42" t="s">
        <v>111</v>
      </c>
      <c r="L35" s="17" t="s">
        <v>107</v>
      </c>
      <c r="M35" s="142" t="s">
        <v>112</v>
      </c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K36" s="145"/>
      <c r="L36" s="146"/>
      <c r="M36" s="145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145951</v>
      </c>
      <c r="D37" s="175"/>
      <c r="E37" s="175">
        <f>$G$30+$O$30-K37-L37-M37</f>
        <v>255414250</v>
      </c>
      <c r="F37" s="175"/>
      <c r="G37" s="176">
        <f>E37/C37</f>
        <v>1750</v>
      </c>
      <c r="H37" s="177"/>
      <c r="I37" s="16"/>
      <c r="J37" s="17"/>
      <c r="K37" s="147"/>
      <c r="L37" s="148"/>
      <c r="M37" s="147">
        <v>19778161.778967202</v>
      </c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145951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147111</v>
      </c>
      <c r="L44" s="171"/>
      <c r="M44" s="64">
        <f>SUM($K$44)/D10</f>
        <v>0.19614799999999999</v>
      </c>
      <c r="N44" s="65">
        <f>$G$37</f>
        <v>1750</v>
      </c>
      <c r="O44" s="101">
        <f>139111-137951</f>
        <v>1160</v>
      </c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B1:Y124"/>
  <sheetViews>
    <sheetView showGridLines="0" topLeftCell="A24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SUM('0701 (기초)'!K44:L44)</f>
        <v>147111</v>
      </c>
      <c r="F10" s="42"/>
      <c r="G10" s="12">
        <f>SUM('0701 (기초)'!N44)</f>
        <v>1750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1750</v>
      </c>
      <c r="O16" s="92">
        <f>IF(L16="","",(SUM(M16)-N16))</f>
        <v>-1750</v>
      </c>
      <c r="P16" s="93">
        <f>IF(L16="","",(L16*O16))</f>
        <v>-14000000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-14000000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139111</v>
      </c>
      <c r="D30" s="175"/>
      <c r="E30" s="176">
        <f>$G$10</f>
        <v>1750</v>
      </c>
      <c r="F30" s="176"/>
      <c r="G30" s="175">
        <f>C30*E30</f>
        <v>243444250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139111</v>
      </c>
      <c r="D37" s="175"/>
      <c r="E37" s="175">
        <f>$G$30+$O$30-K37</f>
        <v>243444250</v>
      </c>
      <c r="F37" s="175"/>
      <c r="G37" s="176">
        <f>E37/C37</f>
        <v>1750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147111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139111</v>
      </c>
      <c r="L44" s="171"/>
      <c r="M44" s="64">
        <f>SUM($K$44)/D10</f>
        <v>0.18548133333333333</v>
      </c>
      <c r="N44" s="65">
        <f>$G$37</f>
        <v>1750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B1:Y124"/>
  <sheetViews>
    <sheetView showGridLines="0" topLeftCell="A24" zoomScaleNormal="100" workbookViewId="0">
      <selection activeCell="P36" sqref="P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SUM('0701'!K44:L44)</f>
        <v>139111</v>
      </c>
      <c r="F10" s="42"/>
      <c r="G10" s="12">
        <f>SUM('0701'!N44)</f>
        <v>1750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64</v>
      </c>
      <c r="L16" s="35">
        <v>8000</v>
      </c>
      <c r="M16" s="102"/>
      <c r="N16" s="91">
        <f>IF(L16="","",($G$10))</f>
        <v>1750</v>
      </c>
      <c r="O16" s="92">
        <f>IF(L16="","",(SUM(M16)-N16))</f>
        <v>-1750</v>
      </c>
      <c r="P16" s="93">
        <f>IF(L16="","",(L16*O16))</f>
        <v>-14000000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-14000000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131111</v>
      </c>
      <c r="D30" s="175"/>
      <c r="E30" s="176">
        <f>$G$10</f>
        <v>1750</v>
      </c>
      <c r="F30" s="176"/>
      <c r="G30" s="175">
        <f>C30*E30</f>
        <v>229444250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131111</v>
      </c>
      <c r="D37" s="175"/>
      <c r="E37" s="175">
        <f>$G$30+$O$30-K37</f>
        <v>229444250</v>
      </c>
      <c r="F37" s="175"/>
      <c r="G37" s="176">
        <f>E37/C37</f>
        <v>1750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139111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131111</v>
      </c>
      <c r="L44" s="171"/>
      <c r="M44" s="64">
        <f>SUM($K$44)/D10</f>
        <v>0.17481466666666667</v>
      </c>
      <c r="N44" s="65">
        <f>$G$37</f>
        <v>1750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FFFF00"/>
    <pageSetUpPr fitToPage="1"/>
  </sheetPr>
  <dimension ref="B1:Y124"/>
  <sheetViews>
    <sheetView showGridLines="0" topLeftCell="A18" zoomScaleNormal="100" workbookViewId="0">
      <selection activeCell="M32" sqref="M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SUM('0708'!K44:L44)</f>
        <v>131111</v>
      </c>
      <c r="F10" s="42"/>
      <c r="G10" s="12">
        <f>SUM('0708'!N44)</f>
        <v>1750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03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131111</v>
      </c>
      <c r="D30" s="175"/>
      <c r="E30" s="176">
        <f>$G$10</f>
        <v>1750</v>
      </c>
      <c r="F30" s="176"/>
      <c r="G30" s="175">
        <f>C30*E30</f>
        <v>229444250</v>
      </c>
      <c r="H30" s="201"/>
      <c r="I30" s="16"/>
      <c r="J30" s="47" t="s">
        <v>11</v>
      </c>
      <c r="K30" s="208">
        <v>94985</v>
      </c>
      <c r="L30" s="209"/>
      <c r="M30" s="210">
        <v>1738.9106737950499</v>
      </c>
      <c r="N30" s="211"/>
      <c r="O30" s="175">
        <f>K30*M30</f>
        <v>165170430.3504228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226096</v>
      </c>
      <c r="D37" s="175"/>
      <c r="E37" s="175">
        <f>$G$30+$O$30-K37</f>
        <v>394614680.3504228</v>
      </c>
      <c r="F37" s="175"/>
      <c r="G37" s="176">
        <f>E37/C37</f>
        <v>1745.341272514431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131111</v>
      </c>
      <c r="D44" s="168"/>
      <c r="E44" s="63"/>
      <c r="F44" s="169">
        <f>$K$30</f>
        <v>94985</v>
      </c>
      <c r="G44" s="170"/>
      <c r="H44" s="170">
        <f>$L$23</f>
        <v>0</v>
      </c>
      <c r="I44" s="170"/>
      <c r="J44" s="170"/>
      <c r="K44" s="171">
        <f>$C$44-$H$44+$F$44+$O$44</f>
        <v>226096</v>
      </c>
      <c r="L44" s="171"/>
      <c r="M44" s="64">
        <f>SUM($K$44)/D10</f>
        <v>0.30146133333333336</v>
      </c>
      <c r="N44" s="65">
        <f>$G$37</f>
        <v>1745.341272514431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B1:Y124"/>
  <sheetViews>
    <sheetView showGridLines="0" topLeftCell="A17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SUM('0714 (입고)'!K44:L44)</f>
        <v>226096</v>
      </c>
      <c r="F10" s="42"/>
      <c r="G10" s="12">
        <f>SUM('0714 (입고)'!N44)</f>
        <v>1745.341272514431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113</v>
      </c>
      <c r="L16" s="35">
        <v>28000</v>
      </c>
      <c r="M16" s="102"/>
      <c r="N16" s="91">
        <f>IF(L16="","",($G$10))</f>
        <v>1745.341272514431</v>
      </c>
      <c r="O16" s="92">
        <f>IF(L16="","",(SUM(M16)-N16))</f>
        <v>-1745.341272514431</v>
      </c>
      <c r="P16" s="93">
        <f>IF(L16="","",(L16*O16))</f>
        <v>-48869555.63040407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49" t="s">
        <v>114</v>
      </c>
      <c r="L17" s="35">
        <v>28000</v>
      </c>
      <c r="M17" s="15"/>
      <c r="N17" s="94">
        <f t="shared" ref="N17:N22" si="3">IF(L17="","",($G$10))</f>
        <v>1745.341272514431</v>
      </c>
      <c r="O17" s="95">
        <f t="shared" ref="O17:O22" si="4">IF(L17="","",(SUM(M17)-N17))</f>
        <v>-1745.341272514431</v>
      </c>
      <c r="P17" s="96">
        <f t="shared" ref="P17:P22" si="5">IF(L17="","",(L17*O17))</f>
        <v>-48869555.63040407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56000</v>
      </c>
      <c r="M23" s="89"/>
      <c r="N23" s="89"/>
      <c r="O23" s="89"/>
      <c r="P23" s="90">
        <f>SUM(P16:P22)</f>
        <v>-97739111.26080814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170096</v>
      </c>
      <c r="D30" s="175"/>
      <c r="E30" s="176">
        <f>$G$10</f>
        <v>1745.341272514431</v>
      </c>
      <c r="F30" s="176"/>
      <c r="G30" s="175">
        <f>C30*E30</f>
        <v>296875569.08961463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170096</v>
      </c>
      <c r="D37" s="175"/>
      <c r="E37" s="175">
        <f>$G$30+$O$30-K37</f>
        <v>296875569.08961463</v>
      </c>
      <c r="F37" s="175"/>
      <c r="G37" s="176">
        <f>E37/C37</f>
        <v>1745.3412725144308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226096</v>
      </c>
      <c r="D44" s="168"/>
      <c r="E44" s="63"/>
      <c r="F44" s="169">
        <f>$K$30</f>
        <v>0</v>
      </c>
      <c r="G44" s="170"/>
      <c r="H44" s="170">
        <f>$L$23</f>
        <v>56000</v>
      </c>
      <c r="I44" s="170"/>
      <c r="J44" s="170"/>
      <c r="K44" s="171">
        <f>$C$44-$H$44+$F$44+$O$44</f>
        <v>170096</v>
      </c>
      <c r="L44" s="171"/>
      <c r="M44" s="64">
        <f>SUM($K$44)/D10</f>
        <v>0.22679466666666667</v>
      </c>
      <c r="N44" s="65">
        <f>$G$37</f>
        <v>1745.3412725144308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FFFF00"/>
    <pageSetUpPr fitToPage="1"/>
  </sheetPr>
  <dimension ref="B1:Y124"/>
  <sheetViews>
    <sheetView showGridLines="0" topLeftCell="A23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SUM('0714'!K44:L44)</f>
        <v>170096</v>
      </c>
      <c r="F10" s="42"/>
      <c r="G10" s="12">
        <f>SUM('0714'!N44)</f>
        <v>1745.3412725144308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49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170096</v>
      </c>
      <c r="D30" s="175"/>
      <c r="E30" s="176">
        <f>$G$10</f>
        <v>1745.3412725144308</v>
      </c>
      <c r="F30" s="176"/>
      <c r="G30" s="175">
        <f>C30*E30</f>
        <v>296875569.08961463</v>
      </c>
      <c r="H30" s="201"/>
      <c r="I30" s="16"/>
      <c r="J30" s="47" t="s">
        <v>11</v>
      </c>
      <c r="K30" s="208">
        <v>63386</v>
      </c>
      <c r="L30" s="209"/>
      <c r="M30" s="210">
        <v>1758.7106737950501</v>
      </c>
      <c r="N30" s="211"/>
      <c r="O30" s="175">
        <f>K30*M30</f>
        <v>111477634.76917304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233482</v>
      </c>
      <c r="D37" s="175"/>
      <c r="E37" s="175">
        <f>$G$30+$O$30-K37</f>
        <v>408353203.85878766</v>
      </c>
      <c r="F37" s="175"/>
      <c r="G37" s="176">
        <f>E37/C37</f>
        <v>1748.9708151325913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170096</v>
      </c>
      <c r="D44" s="168"/>
      <c r="E44" s="63"/>
      <c r="F44" s="169">
        <f>$K$30</f>
        <v>63386</v>
      </c>
      <c r="G44" s="170"/>
      <c r="H44" s="170">
        <f>$L$23</f>
        <v>0</v>
      </c>
      <c r="I44" s="170"/>
      <c r="J44" s="170"/>
      <c r="K44" s="171">
        <f>$C$44-$H$44+$F$44+$O$44</f>
        <v>233482</v>
      </c>
      <c r="L44" s="171"/>
      <c r="M44" s="64">
        <f>SUM($K$44)/D10</f>
        <v>0.31130933333333333</v>
      </c>
      <c r="N44" s="65">
        <f>$G$37</f>
        <v>1748.9708151325913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B1:Y124"/>
  <sheetViews>
    <sheetView showGridLines="0" topLeftCell="A23" zoomScaleNormal="100" workbookViewId="0">
      <selection activeCell="G45" sqref="G45:O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SUM('0715 (입고)'!K44:L44)</f>
        <v>233482</v>
      </c>
      <c r="F10" s="42"/>
      <c r="G10" s="12">
        <f>SUM('0715 (입고)'!N44)</f>
        <v>1748.9708151325913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113</v>
      </c>
      <c r="L16" s="35">
        <v>56000</v>
      </c>
      <c r="M16" s="102"/>
      <c r="N16" s="91">
        <f>IF(L16="","",($G$10))</f>
        <v>1748.9708151325913</v>
      </c>
      <c r="O16" s="92">
        <f>IF(L16="","",(SUM(M16)-N16))</f>
        <v>-1748.9708151325913</v>
      </c>
      <c r="P16" s="93">
        <f>IF(L16="","",(L16*O16))</f>
        <v>-97942365.647425115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115</v>
      </c>
      <c r="L17" s="35">
        <v>28000</v>
      </c>
      <c r="M17" s="15"/>
      <c r="N17" s="94">
        <f t="shared" ref="N17:N22" si="3">IF(L17="","",($G$10))</f>
        <v>1748.9708151325913</v>
      </c>
      <c r="O17" s="95">
        <f t="shared" ref="O17:O22" si="4">IF(L17="","",(SUM(M17)-N17))</f>
        <v>-1748.9708151325913</v>
      </c>
      <c r="P17" s="96">
        <f t="shared" ref="P17:P22" si="5">IF(L17="","",(L17*O17))</f>
        <v>-48971182.823712558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84000</v>
      </c>
      <c r="M23" s="89"/>
      <c r="N23" s="89"/>
      <c r="O23" s="89"/>
      <c r="P23" s="90">
        <f>SUM(P16:P22)</f>
        <v>-146913548.47113767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149482</v>
      </c>
      <c r="D30" s="175"/>
      <c r="E30" s="176">
        <f>$G$10</f>
        <v>1748.9708151325913</v>
      </c>
      <c r="F30" s="176"/>
      <c r="G30" s="175">
        <f>C30*E30</f>
        <v>261439655.38765001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149482</v>
      </c>
      <c r="D37" s="175"/>
      <c r="E37" s="175">
        <f>$G$30+$O$30-K37</f>
        <v>261439655.38765001</v>
      </c>
      <c r="F37" s="175"/>
      <c r="G37" s="176">
        <f>E37/C37</f>
        <v>1748.9708151325913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233482</v>
      </c>
      <c r="D44" s="168"/>
      <c r="E44" s="63"/>
      <c r="F44" s="169">
        <f>$K$30</f>
        <v>0</v>
      </c>
      <c r="G44" s="170"/>
      <c r="H44" s="170">
        <f>$L$23</f>
        <v>84000</v>
      </c>
      <c r="I44" s="170"/>
      <c r="J44" s="170"/>
      <c r="K44" s="171">
        <f>$C$44-$H$44+$F$44+$O$44</f>
        <v>149482</v>
      </c>
      <c r="L44" s="171"/>
      <c r="M44" s="64">
        <f>SUM($K$44)/D10</f>
        <v>0.19930933333333334</v>
      </c>
      <c r="N44" s="65">
        <f>$G$37</f>
        <v>1748.9708151325913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FFFF00"/>
    <pageSetUpPr fitToPage="1"/>
  </sheetPr>
  <dimension ref="B1:Y124"/>
  <sheetViews>
    <sheetView showGridLines="0" topLeftCell="A24" zoomScaleNormal="100" workbookViewId="0">
      <selection activeCell="P36" sqref="P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SUM('0715'!K44:L44)</f>
        <v>149482</v>
      </c>
      <c r="F10" s="42"/>
      <c r="G10" s="12">
        <f>SUM('0715'!N44)</f>
        <v>1748.9708151325913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49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04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149482</v>
      </c>
      <c r="D30" s="175"/>
      <c r="E30" s="176">
        <f>$G$10</f>
        <v>1748.9708151325913</v>
      </c>
      <c r="F30" s="176"/>
      <c r="G30" s="175">
        <f>C30*E30</f>
        <v>261439655.38765001</v>
      </c>
      <c r="H30" s="201"/>
      <c r="I30" s="16"/>
      <c r="J30" s="47" t="s">
        <v>11</v>
      </c>
      <c r="K30" s="208">
        <v>75239</v>
      </c>
      <c r="L30" s="209"/>
      <c r="M30" s="210">
        <v>1755.5861585835301</v>
      </c>
      <c r="N30" s="211"/>
      <c r="O30" s="175">
        <f>K30*M30</f>
        <v>132088546.98566622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224721</v>
      </c>
      <c r="D37" s="175"/>
      <c r="E37" s="175">
        <f>$G$30+$O$30-K37</f>
        <v>393528202.37331623</v>
      </c>
      <c r="F37" s="175"/>
      <c r="G37" s="176">
        <f>E37/C37</f>
        <v>1751.1857030420665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149482</v>
      </c>
      <c r="D44" s="168"/>
      <c r="E44" s="63"/>
      <c r="F44" s="169">
        <f>$K$30</f>
        <v>75239</v>
      </c>
      <c r="G44" s="170"/>
      <c r="H44" s="170">
        <f>$L$23</f>
        <v>0</v>
      </c>
      <c r="I44" s="170"/>
      <c r="J44" s="170"/>
      <c r="K44" s="171">
        <f>$C$44-$H$44+$F$44+$O$44</f>
        <v>224721</v>
      </c>
      <c r="L44" s="171"/>
      <c r="M44" s="64">
        <f>SUM($K$44)/D10</f>
        <v>0.29962800000000001</v>
      </c>
      <c r="N44" s="65">
        <f>$G$37</f>
        <v>1751.1857030420665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B1:Y124"/>
  <sheetViews>
    <sheetView showGridLines="0" topLeftCell="A31" zoomScaleNormal="100" workbookViewId="0">
      <selection activeCell="M37" sqref="M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SUM('0716 (입고)'!K44:L44)</f>
        <v>224721</v>
      </c>
      <c r="F10" s="42"/>
      <c r="G10" s="12">
        <f>SUM('0716 (입고)'!N44)</f>
        <v>1751.1857030420665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116</v>
      </c>
      <c r="L16" s="35">
        <v>28000</v>
      </c>
      <c r="M16" s="102"/>
      <c r="N16" s="91">
        <f>IF(L16="","",($G$10))</f>
        <v>1751.1857030420665</v>
      </c>
      <c r="O16" s="92">
        <f>IF(L16="","",(SUM(M16)-N16))</f>
        <v>-1751.1857030420665</v>
      </c>
      <c r="P16" s="93">
        <f>IF(L16="","",(L16*O16))</f>
        <v>-49033199.685177863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117</v>
      </c>
      <c r="L17" s="35">
        <v>28000</v>
      </c>
      <c r="M17" s="15"/>
      <c r="N17" s="94">
        <f t="shared" ref="N17:N22" si="3">IF(L17="","",($G$10))</f>
        <v>1751.1857030420665</v>
      </c>
      <c r="O17" s="95">
        <f t="shared" ref="O17:O22" si="4">IF(L17="","",(SUM(M17)-N17))</f>
        <v>-1751.1857030420665</v>
      </c>
      <c r="P17" s="96">
        <f t="shared" ref="P17:P22" si="5">IF(L17="","",(L17*O17))</f>
        <v>-49033199.685177863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118</v>
      </c>
      <c r="L18" s="35">
        <v>28000</v>
      </c>
      <c r="M18" s="15"/>
      <c r="N18" s="94">
        <f t="shared" si="3"/>
        <v>1751.1857030420665</v>
      </c>
      <c r="O18" s="95">
        <f t="shared" si="4"/>
        <v>-1751.1857030420665</v>
      </c>
      <c r="P18" s="96">
        <f t="shared" si="5"/>
        <v>-49033199.685177863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64</v>
      </c>
      <c r="L19" s="35">
        <v>8000</v>
      </c>
      <c r="M19" s="15"/>
      <c r="N19" s="94">
        <f t="shared" si="3"/>
        <v>1751.1857030420665</v>
      </c>
      <c r="O19" s="95">
        <f t="shared" si="4"/>
        <v>-1751.1857030420665</v>
      </c>
      <c r="P19" s="96">
        <f t="shared" si="5"/>
        <v>-14009485.624336531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92000</v>
      </c>
      <c r="M23" s="89"/>
      <c r="N23" s="89"/>
      <c r="O23" s="89"/>
      <c r="P23" s="90">
        <f>SUM(P16:P22)</f>
        <v>-161109084.67987013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132721</v>
      </c>
      <c r="D30" s="175"/>
      <c r="E30" s="176">
        <f>$G$10</f>
        <v>1751.1857030420665</v>
      </c>
      <c r="F30" s="176"/>
      <c r="G30" s="175">
        <f>C30*E30</f>
        <v>232419117.6934461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132721</v>
      </c>
      <c r="D37" s="175"/>
      <c r="E37" s="175">
        <f>$G$30+$O$30-K37</f>
        <v>232419117.6934461</v>
      </c>
      <c r="F37" s="175"/>
      <c r="G37" s="176">
        <f>E37/C37</f>
        <v>1751.1857030420665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224721</v>
      </c>
      <c r="D44" s="168"/>
      <c r="E44" s="63"/>
      <c r="F44" s="169">
        <f>$K$30</f>
        <v>0</v>
      </c>
      <c r="G44" s="170"/>
      <c r="H44" s="170">
        <f>$L$23</f>
        <v>92000</v>
      </c>
      <c r="I44" s="170"/>
      <c r="J44" s="170"/>
      <c r="K44" s="171">
        <f>$C$44-$H$44+$F$44+$O$44</f>
        <v>132721</v>
      </c>
      <c r="L44" s="171"/>
      <c r="M44" s="64">
        <f>SUM($K$44)/D10</f>
        <v>0.17696133333333333</v>
      </c>
      <c r="N44" s="65">
        <f>$G$37</f>
        <v>1751.1857030420665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FFFF00"/>
    <pageSetUpPr fitToPage="1"/>
  </sheetPr>
  <dimension ref="B1:Y124"/>
  <sheetViews>
    <sheetView showGridLines="0" topLeftCell="A24" zoomScaleNormal="100" workbookViewId="0">
      <selection activeCell="N32" sqref="N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SUM('0716'!K44:L44)</f>
        <v>132721</v>
      </c>
      <c r="F10" s="42"/>
      <c r="G10" s="12">
        <f>SUM('0716'!N44)</f>
        <v>1751.1857030420665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132721</v>
      </c>
      <c r="D30" s="175"/>
      <c r="E30" s="176">
        <f>$G$10</f>
        <v>1751.1857030420665</v>
      </c>
      <c r="F30" s="176"/>
      <c r="G30" s="175">
        <f>C30*E30</f>
        <v>232419117.6934461</v>
      </c>
      <c r="H30" s="201"/>
      <c r="I30" s="16"/>
      <c r="J30" s="47" t="s">
        <v>11</v>
      </c>
      <c r="K30" s="208">
        <v>27712</v>
      </c>
      <c r="L30" s="209"/>
      <c r="M30" s="210">
        <v>1738.9106737950499</v>
      </c>
      <c r="N30" s="211"/>
      <c r="O30" s="175">
        <f>K30*M30</f>
        <v>48188692.592208423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160433</v>
      </c>
      <c r="D37" s="175"/>
      <c r="E37" s="175">
        <f>$G$30+$O$30-K37</f>
        <v>280607810.28565454</v>
      </c>
      <c r="F37" s="175"/>
      <c r="G37" s="176">
        <f>E37/C37</f>
        <v>1749.0654060302716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132721</v>
      </c>
      <c r="D44" s="168"/>
      <c r="E44" s="63"/>
      <c r="F44" s="169">
        <f>$K$30</f>
        <v>27712</v>
      </c>
      <c r="G44" s="170"/>
      <c r="H44" s="170">
        <f>$L$23</f>
        <v>0</v>
      </c>
      <c r="I44" s="170"/>
      <c r="J44" s="170"/>
      <c r="K44" s="171">
        <f>$C$44-$H$44+$F$44+$O$44</f>
        <v>160433</v>
      </c>
      <c r="L44" s="171"/>
      <c r="M44" s="64">
        <f>SUM($K$44)/D10</f>
        <v>0.21391066666666667</v>
      </c>
      <c r="N44" s="65">
        <f>$G$37</f>
        <v>1749.0654060302716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FFFF00"/>
    <pageSetUpPr fitToPage="1"/>
  </sheetPr>
  <dimension ref="B1:Y124"/>
  <sheetViews>
    <sheetView showGridLines="0" topLeftCell="A28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SUM('0717 (입고)'!K44:L44)</f>
        <v>160433</v>
      </c>
      <c r="F10" s="42"/>
      <c r="G10" s="12">
        <f>SUM('0717 (입고)'!N44)</f>
        <v>1749.0654060302716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160433</v>
      </c>
      <c r="D30" s="175"/>
      <c r="E30" s="176">
        <f>$G$10</f>
        <v>1749.0654060302716</v>
      </c>
      <c r="F30" s="176"/>
      <c r="G30" s="175">
        <f>C30*E30</f>
        <v>280607810.28565454</v>
      </c>
      <c r="H30" s="201"/>
      <c r="I30" s="16"/>
      <c r="J30" s="47" t="s">
        <v>11</v>
      </c>
      <c r="K30" s="208">
        <v>63520</v>
      </c>
      <c r="L30" s="209"/>
      <c r="M30" s="210">
        <v>1758.7106737950501</v>
      </c>
      <c r="N30" s="211"/>
      <c r="O30" s="175">
        <f>K30*M30</f>
        <v>111713301.99946158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223953</v>
      </c>
      <c r="D37" s="175"/>
      <c r="E37" s="175">
        <f>$G$30+$O$30-K37</f>
        <v>392321112.28511614</v>
      </c>
      <c r="F37" s="175"/>
      <c r="G37" s="176">
        <f>E37/C37</f>
        <v>1751.8011023970037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160433</v>
      </c>
      <c r="D44" s="168"/>
      <c r="E44" s="63"/>
      <c r="F44" s="169">
        <f>$K$30</f>
        <v>63520</v>
      </c>
      <c r="G44" s="170"/>
      <c r="H44" s="170">
        <f>$L$23</f>
        <v>0</v>
      </c>
      <c r="I44" s="170"/>
      <c r="J44" s="170"/>
      <c r="K44" s="171">
        <f>$C$44-$H$44+$F$44+$O$44</f>
        <v>223953</v>
      </c>
      <c r="L44" s="171"/>
      <c r="M44" s="64">
        <f>SUM($K$44)/D10</f>
        <v>0.29860399999999998</v>
      </c>
      <c r="N44" s="65">
        <f>$G$37</f>
        <v>1751.8011023970037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FFFF00"/>
    <pageSetUpPr fitToPage="1"/>
  </sheetPr>
  <dimension ref="B1:Y124"/>
  <sheetViews>
    <sheetView showGridLines="0" topLeftCell="A21" zoomScaleNormal="100" workbookViewId="0">
      <selection activeCell="M34" sqref="M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SUM('0718 (입고)'!K44:L44)</f>
        <v>223953</v>
      </c>
      <c r="F10" s="42"/>
      <c r="G10" s="12">
        <f>SUM('0718 (입고)'!N44)</f>
        <v>1751.8011023970037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223953</v>
      </c>
      <c r="D30" s="175"/>
      <c r="E30" s="176">
        <f>$G$10</f>
        <v>1751.8011023970037</v>
      </c>
      <c r="F30" s="176"/>
      <c r="G30" s="175">
        <f>C30*E30</f>
        <v>392321112.28511614</v>
      </c>
      <c r="H30" s="201"/>
      <c r="I30" s="16"/>
      <c r="J30" s="47" t="s">
        <v>11</v>
      </c>
      <c r="K30" s="208">
        <v>310347</v>
      </c>
      <c r="L30" s="209"/>
      <c r="M30" s="210">
        <v>1742.9613712401699</v>
      </c>
      <c r="N30" s="211"/>
      <c r="O30" s="175">
        <f>K30*M30</f>
        <v>540922832.68027306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534300</v>
      </c>
      <c r="D37" s="175"/>
      <c r="E37" s="175">
        <f>$G$30+$O$30-K37</f>
        <v>933243944.96538925</v>
      </c>
      <c r="F37" s="175"/>
      <c r="G37" s="176">
        <f>E37/C37</f>
        <v>1746.6665636634648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223953</v>
      </c>
      <c r="D44" s="168"/>
      <c r="E44" s="63"/>
      <c r="F44" s="169">
        <f>$K$30</f>
        <v>310347</v>
      </c>
      <c r="G44" s="170"/>
      <c r="H44" s="170">
        <f>$L$23</f>
        <v>0</v>
      </c>
      <c r="I44" s="170"/>
      <c r="J44" s="170"/>
      <c r="K44" s="171">
        <f>$C$44-$H$44+$F$44+$O$44</f>
        <v>534300</v>
      </c>
      <c r="L44" s="171"/>
      <c r="M44" s="64">
        <f>SUM($K$44)/D10</f>
        <v>0.71240000000000003</v>
      </c>
      <c r="N44" s="65">
        <f>$G$37</f>
        <v>1746.6665636634648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SUM('0720 (입고)'!K44:L44)</f>
        <v>534300</v>
      </c>
      <c r="F10" s="42"/>
      <c r="G10" s="12">
        <f>SUM('0720 (입고)'!N44)</f>
        <v>1746.6665636634648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534300</v>
      </c>
      <c r="D30" s="175"/>
      <c r="E30" s="176">
        <f>$G$10</f>
        <v>1746.6665636634648</v>
      </c>
      <c r="F30" s="176"/>
      <c r="G30" s="175">
        <f>C30*E30</f>
        <v>933243944.96538925</v>
      </c>
      <c r="H30" s="201"/>
      <c r="I30" s="16"/>
      <c r="J30" s="47" t="s">
        <v>11</v>
      </c>
      <c r="K30" s="208">
        <v>132913</v>
      </c>
      <c r="L30" s="209"/>
      <c r="M30" s="210">
        <v>1738.9106737950499</v>
      </c>
      <c r="N30" s="211"/>
      <c r="O30" s="175">
        <f>K30*M30</f>
        <v>231123834.38612145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667213</v>
      </c>
      <c r="D37" s="175"/>
      <c r="E37" s="175">
        <f>$G$30+$O$30-K37</f>
        <v>1164367779.3515108</v>
      </c>
      <c r="F37" s="175"/>
      <c r="G37" s="176">
        <f>E37/C37</f>
        <v>1745.1215419236596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534300</v>
      </c>
      <c r="D44" s="168"/>
      <c r="E44" s="63"/>
      <c r="F44" s="169">
        <f>$K$30</f>
        <v>132913</v>
      </c>
      <c r="G44" s="170"/>
      <c r="H44" s="170">
        <f>$L$23</f>
        <v>0</v>
      </c>
      <c r="I44" s="170"/>
      <c r="J44" s="170"/>
      <c r="K44" s="171">
        <f>$C$44-$H$44+$F$44+$O$44</f>
        <v>667213</v>
      </c>
      <c r="L44" s="171"/>
      <c r="M44" s="64">
        <f>SUM($K$44)/D10</f>
        <v>0.88961733333333337</v>
      </c>
      <c r="N44" s="65">
        <f>$G$37</f>
        <v>1745.1215419236596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B1:Y124"/>
  <sheetViews>
    <sheetView showGridLines="0" topLeftCell="A27" zoomScaleNormal="100" workbookViewId="0">
      <selection activeCell="L60" sqref="L6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SUM('0721 (입고)'!K44:L44)</f>
        <v>667213</v>
      </c>
      <c r="F10" s="42"/>
      <c r="G10" s="12">
        <f>SUM('0721 (입고)'!N44)</f>
        <v>1745.1215419236596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118</v>
      </c>
      <c r="L16" s="35">
        <v>28000</v>
      </c>
      <c r="M16" s="102"/>
      <c r="N16" s="91">
        <f>IF(L16="","",($G$10))</f>
        <v>1745.1215419236596</v>
      </c>
      <c r="O16" s="92">
        <f>IF(L16="","",(SUM(M16)-N16))</f>
        <v>-1745.1215419236596</v>
      </c>
      <c r="P16" s="93">
        <f>IF(L16="","",(L16*O16))</f>
        <v>-48863403.173862472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118</v>
      </c>
      <c r="L17" s="35">
        <v>28000</v>
      </c>
      <c r="M17" s="15"/>
      <c r="N17" s="94">
        <f t="shared" ref="N17:N22" si="3">IF(L17="","",($G$10))</f>
        <v>1745.1215419236596</v>
      </c>
      <c r="O17" s="95">
        <f t="shared" ref="O17:O22" si="4">IF(L17="","",(SUM(M17)-N17))</f>
        <v>-1745.1215419236596</v>
      </c>
      <c r="P17" s="96">
        <f t="shared" ref="P17:P22" si="5">IF(L17="","",(L17*O17))</f>
        <v>-48863403.173862472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56000</v>
      </c>
      <c r="M23" s="89"/>
      <c r="N23" s="89"/>
      <c r="O23" s="89"/>
      <c r="P23" s="90">
        <f>SUM(P16:P22)</f>
        <v>-97726806.347724944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611213</v>
      </c>
      <c r="D30" s="175"/>
      <c r="E30" s="176">
        <f>$G$10</f>
        <v>1745.1215419236596</v>
      </c>
      <c r="F30" s="176"/>
      <c r="G30" s="175">
        <f>C30*E30</f>
        <v>1066640973.0037857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611213</v>
      </c>
      <c r="D37" s="175"/>
      <c r="E37" s="175">
        <f>$G$30+$O$30-K37</f>
        <v>1066640973.0037857</v>
      </c>
      <c r="F37" s="175"/>
      <c r="G37" s="176">
        <f>E37/C37</f>
        <v>1745.1215419236596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667213</v>
      </c>
      <c r="D44" s="168"/>
      <c r="E44" s="63"/>
      <c r="F44" s="169">
        <f>$K$30</f>
        <v>0</v>
      </c>
      <c r="G44" s="170"/>
      <c r="H44" s="170">
        <f>$L$23</f>
        <v>56000</v>
      </c>
      <c r="I44" s="170"/>
      <c r="J44" s="170"/>
      <c r="K44" s="171">
        <f>$C$44-$H$44+$F$44+$O$44</f>
        <v>611213</v>
      </c>
      <c r="L44" s="171"/>
      <c r="M44" s="64">
        <f>SUM($K$44)/D10</f>
        <v>0.81495066666666671</v>
      </c>
      <c r="N44" s="65">
        <f>$G$37</f>
        <v>1745.1215419236596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B1:Y124"/>
  <sheetViews>
    <sheetView showGridLines="0" topLeftCell="A28" zoomScaleNormal="100" workbookViewId="0">
      <selection activeCell="R8" sqref="R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SUM('0721'!K44:L44)</f>
        <v>611213</v>
      </c>
      <c r="F10" s="42"/>
      <c r="G10" s="12">
        <f>SUM('0721'!N44)</f>
        <v>1745.1215419236596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118</v>
      </c>
      <c r="L16" s="35">
        <v>28000</v>
      </c>
      <c r="M16" s="102"/>
      <c r="N16" s="91">
        <f>IF(L16="","",($G$10))</f>
        <v>1745.1215419236596</v>
      </c>
      <c r="O16" s="92">
        <f>IF(L16="","",(SUM(M16)-N16))</f>
        <v>-1745.1215419236596</v>
      </c>
      <c r="P16" s="93">
        <f>IF(L16="","",(L16*O16))</f>
        <v>-48863403.173862472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119</v>
      </c>
      <c r="L17" s="35">
        <v>28000</v>
      </c>
      <c r="M17" s="15"/>
      <c r="N17" s="94">
        <f t="shared" ref="N17:N22" si="3">IF(L17="","",($G$10))</f>
        <v>1745.1215419236596</v>
      </c>
      <c r="O17" s="95">
        <f t="shared" ref="O17:O22" si="4">IF(L17="","",(SUM(M17)-N17))</f>
        <v>-1745.1215419236596</v>
      </c>
      <c r="P17" s="96">
        <f t="shared" ref="P17:P22" si="5">IF(L17="","",(L17*O17))</f>
        <v>-48863403.173862472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119</v>
      </c>
      <c r="L18" s="35">
        <v>28000</v>
      </c>
      <c r="M18" s="15"/>
      <c r="N18" s="94">
        <f t="shared" si="3"/>
        <v>1745.1215419236596</v>
      </c>
      <c r="O18" s="95">
        <f t="shared" si="4"/>
        <v>-1745.1215419236596</v>
      </c>
      <c r="P18" s="96">
        <f t="shared" si="5"/>
        <v>-48863403.173862472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84000</v>
      </c>
      <c r="M23" s="89"/>
      <c r="N23" s="89"/>
      <c r="O23" s="89"/>
      <c r="P23" s="90">
        <f>SUM(P16:P22)</f>
        <v>-146590209.52158743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527213</v>
      </c>
      <c r="D30" s="175"/>
      <c r="E30" s="176">
        <f>$G$10</f>
        <v>1745.1215419236596</v>
      </c>
      <c r="F30" s="176"/>
      <c r="G30" s="175">
        <f>C30*E30</f>
        <v>920050763.48219836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527213</v>
      </c>
      <c r="D37" s="175"/>
      <c r="E37" s="175">
        <f>$G$30+$O$30-K37</f>
        <v>920050763.48219836</v>
      </c>
      <c r="F37" s="175"/>
      <c r="G37" s="176">
        <f>E37/C37</f>
        <v>1745.1215419236596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611213</v>
      </c>
      <c r="D44" s="168"/>
      <c r="E44" s="63"/>
      <c r="F44" s="169">
        <f>$K$30</f>
        <v>0</v>
      </c>
      <c r="G44" s="170"/>
      <c r="H44" s="170">
        <f>$L$23</f>
        <v>84000</v>
      </c>
      <c r="I44" s="170"/>
      <c r="J44" s="170"/>
      <c r="K44" s="171">
        <f>$C$44-$H$44+$F$44+$O$44</f>
        <v>527213</v>
      </c>
      <c r="L44" s="171"/>
      <c r="M44" s="64">
        <f>SUM($K$44)/D10</f>
        <v>0.70295066666666661</v>
      </c>
      <c r="N44" s="65">
        <f>$G$37</f>
        <v>1745.1215419236596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SUM('0722'!K44:L44)</f>
        <v>527213</v>
      </c>
      <c r="F10" s="42"/>
      <c r="G10" s="12">
        <f>SUM('0722'!N44)</f>
        <v>1745.1215419236596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527213</v>
      </c>
      <c r="D30" s="175"/>
      <c r="E30" s="176">
        <f>$G$10</f>
        <v>1745.1215419236596</v>
      </c>
      <c r="F30" s="176"/>
      <c r="G30" s="175">
        <f>C30*E30</f>
        <v>920050763.48219836</v>
      </c>
      <c r="H30" s="201"/>
      <c r="I30" s="16"/>
      <c r="J30" s="47" t="s">
        <v>11</v>
      </c>
      <c r="K30" s="208">
        <v>142549</v>
      </c>
      <c r="L30" s="209"/>
      <c r="M30" s="210">
        <v>1738.9106737950499</v>
      </c>
      <c r="N30" s="211"/>
      <c r="O30" s="175">
        <f>K30*M30</f>
        <v>247879977.63881058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669762</v>
      </c>
      <c r="D37" s="175"/>
      <c r="E37" s="175">
        <f>$G$30+$O$30-K37</f>
        <v>1167930741.1210089</v>
      </c>
      <c r="F37" s="175"/>
      <c r="G37" s="176">
        <f>E37/C37</f>
        <v>1743.7996499069952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527213</v>
      </c>
      <c r="D44" s="168"/>
      <c r="E44" s="63"/>
      <c r="F44" s="169">
        <f>$K$30</f>
        <v>142549</v>
      </c>
      <c r="G44" s="170"/>
      <c r="H44" s="170">
        <f>$L$23</f>
        <v>0</v>
      </c>
      <c r="I44" s="170"/>
      <c r="J44" s="170"/>
      <c r="K44" s="171">
        <f>$C$44-$H$44+$F$44+$O$44</f>
        <v>669762</v>
      </c>
      <c r="L44" s="171"/>
      <c r="M44" s="64">
        <f>SUM($K$44)/D10</f>
        <v>0.89301600000000003</v>
      </c>
      <c r="N44" s="65">
        <f>$G$37</f>
        <v>1743.7996499069952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B1:Y124"/>
  <sheetViews>
    <sheetView showGridLines="0" topLeftCell="A31" zoomScaleNormal="100" workbookViewId="0">
      <selection activeCell="M33" sqref="M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SUM('0723 (입고)'!K44:L44)</f>
        <v>669762</v>
      </c>
      <c r="F10" s="42"/>
      <c r="G10" s="12">
        <f>SUM('0723 (입고)'!N44)</f>
        <v>1743.7996499069952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117</v>
      </c>
      <c r="L16" s="35">
        <v>28000</v>
      </c>
      <c r="M16" s="102"/>
      <c r="N16" s="91">
        <f>IF(L16="","",($G$10))</f>
        <v>1743.7996499069952</v>
      </c>
      <c r="O16" s="92">
        <f>IF(L16="","",(SUM(M16)-N16))</f>
        <v>-1743.7996499069952</v>
      </c>
      <c r="P16" s="93">
        <f>IF(L16="","",(L16*O16))</f>
        <v>-48826390.197395869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119</v>
      </c>
      <c r="L17" s="35">
        <v>28000</v>
      </c>
      <c r="M17" s="15"/>
      <c r="N17" s="94">
        <f t="shared" ref="N17:N22" si="3">IF(L17="","",($G$10))</f>
        <v>1743.7996499069952</v>
      </c>
      <c r="O17" s="95">
        <f t="shared" ref="O17:O22" si="4">IF(L17="","",(SUM(M17)-N17))</f>
        <v>-1743.7996499069952</v>
      </c>
      <c r="P17" s="96">
        <f t="shared" ref="P17:P22" si="5">IF(L17="","",(L17*O17))</f>
        <v>-48826390.197395869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119</v>
      </c>
      <c r="L18" s="35">
        <v>28000</v>
      </c>
      <c r="M18" s="15"/>
      <c r="N18" s="94">
        <f t="shared" si="3"/>
        <v>1743.7996499069952</v>
      </c>
      <c r="O18" s="95">
        <f t="shared" si="4"/>
        <v>-1743.7996499069952</v>
      </c>
      <c r="P18" s="96">
        <f t="shared" si="5"/>
        <v>-48826390.197395869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64</v>
      </c>
      <c r="L19" s="35">
        <v>8000</v>
      </c>
      <c r="M19" s="15"/>
      <c r="N19" s="94">
        <f t="shared" si="3"/>
        <v>1743.7996499069952</v>
      </c>
      <c r="O19" s="95">
        <f t="shared" si="4"/>
        <v>-1743.7996499069952</v>
      </c>
      <c r="P19" s="96">
        <f t="shared" si="5"/>
        <v>-13950397.199255962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92000</v>
      </c>
      <c r="M23" s="89"/>
      <c r="N23" s="89"/>
      <c r="O23" s="89"/>
      <c r="P23" s="90">
        <f>SUM(P16:P22)</f>
        <v>-160429567.79144359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577762</v>
      </c>
      <c r="D30" s="175"/>
      <c r="E30" s="176">
        <f>$G$10</f>
        <v>1743.7996499069952</v>
      </c>
      <c r="F30" s="176"/>
      <c r="G30" s="175">
        <f>C30*E30</f>
        <v>1007501173.3295654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577762</v>
      </c>
      <c r="D37" s="175"/>
      <c r="E37" s="175">
        <f>$G$30+$O$30-K37</f>
        <v>1007501173.3295654</v>
      </c>
      <c r="F37" s="175"/>
      <c r="G37" s="176">
        <f>E37/C37</f>
        <v>1743.7996499069952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669762</v>
      </c>
      <c r="D44" s="168"/>
      <c r="E44" s="63"/>
      <c r="F44" s="169">
        <f>$K$30</f>
        <v>0</v>
      </c>
      <c r="G44" s="170"/>
      <c r="H44" s="170">
        <f>$L$23</f>
        <v>92000</v>
      </c>
      <c r="I44" s="170"/>
      <c r="J44" s="170"/>
      <c r="K44" s="171">
        <f>$C$44-$H$44+$F$44+$O$44</f>
        <v>577762</v>
      </c>
      <c r="L44" s="171"/>
      <c r="M44" s="64">
        <f>SUM($K$44)/D10</f>
        <v>0.77034933333333333</v>
      </c>
      <c r="N44" s="65">
        <f>$G$37</f>
        <v>1743.7996499069952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FFFF00"/>
    <pageSetUpPr fitToPage="1"/>
  </sheetPr>
  <dimension ref="B1:Y124"/>
  <sheetViews>
    <sheetView showGridLines="0" topLeftCell="A15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SUM('0723'!K44:L44)</f>
        <v>577762</v>
      </c>
      <c r="F10" s="42"/>
      <c r="G10" s="12">
        <f>SUM('0723'!N44)</f>
        <v>1743.7996499069952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577762</v>
      </c>
      <c r="D30" s="175"/>
      <c r="E30" s="176">
        <f>$G$10</f>
        <v>1743.7996499069952</v>
      </c>
      <c r="F30" s="176"/>
      <c r="G30" s="175">
        <f>C30*E30</f>
        <v>1007501173.3295654</v>
      </c>
      <c r="H30" s="201"/>
      <c r="I30" s="16"/>
      <c r="J30" s="47" t="s">
        <v>11</v>
      </c>
      <c r="K30" s="208">
        <v>142786</v>
      </c>
      <c r="L30" s="209"/>
      <c r="M30" s="210">
        <v>1738.9106737950499</v>
      </c>
      <c r="N30" s="211"/>
      <c r="O30" s="175">
        <f>K30*M30</f>
        <v>248292099.46849999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720548</v>
      </c>
      <c r="D37" s="175"/>
      <c r="E37" s="175">
        <f>$G$30+$O$30-K37</f>
        <v>1255793272.7980654</v>
      </c>
      <c r="F37" s="175"/>
      <c r="G37" s="176">
        <f>E37/C37</f>
        <v>1742.8308354170235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577762</v>
      </c>
      <c r="D44" s="168"/>
      <c r="E44" s="63"/>
      <c r="F44" s="169">
        <f>$K$30</f>
        <v>142786</v>
      </c>
      <c r="G44" s="170"/>
      <c r="H44" s="170">
        <f>$L$23</f>
        <v>0</v>
      </c>
      <c r="I44" s="170"/>
      <c r="J44" s="170"/>
      <c r="K44" s="171">
        <f>$C$44-$H$44+$F$44+$O$44</f>
        <v>720548</v>
      </c>
      <c r="L44" s="171"/>
      <c r="M44" s="64">
        <f>SUM($K$44)/D10</f>
        <v>0.96073066666666662</v>
      </c>
      <c r="N44" s="65">
        <f>$G$37</f>
        <v>1742.8308354170235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B1:Y124"/>
  <sheetViews>
    <sheetView showGridLines="0" topLeftCell="A31" zoomScaleNormal="100" workbookViewId="0">
      <selection activeCell="O49" sqref="O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SUM('0724 (입고)'!K44:L44)</f>
        <v>720548</v>
      </c>
      <c r="F10" s="42"/>
      <c r="G10" s="12">
        <f>SUM('0724 (입고)'!N44)</f>
        <v>1742.8308354170235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118</v>
      </c>
      <c r="L16" s="35">
        <v>28000</v>
      </c>
      <c r="M16" s="102"/>
      <c r="N16" s="91">
        <f>IF(L16="","",($G$10))</f>
        <v>1742.8308354170235</v>
      </c>
      <c r="O16" s="92">
        <f>IF(L16="","",(SUM(M16)-N16))</f>
        <v>-1742.8308354170235</v>
      </c>
      <c r="P16" s="93">
        <f>IF(L16="","",(L16*O16))</f>
        <v>-48799263.391676657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119</v>
      </c>
      <c r="L17" s="35">
        <v>28000</v>
      </c>
      <c r="M17" s="15"/>
      <c r="N17" s="94">
        <f t="shared" ref="N17:N22" si="3">IF(L17="","",($G$10))</f>
        <v>1742.8308354170235</v>
      </c>
      <c r="O17" s="95">
        <f t="shared" ref="O17:O22" si="4">IF(L17="","",(SUM(M17)-N17))</f>
        <v>-1742.8308354170235</v>
      </c>
      <c r="P17" s="96">
        <f t="shared" ref="P17:P22" si="5">IF(L17="","",(L17*O17))</f>
        <v>-48799263.391676657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119</v>
      </c>
      <c r="L18" s="35">
        <v>28000</v>
      </c>
      <c r="M18" s="15"/>
      <c r="N18" s="94">
        <f t="shared" si="3"/>
        <v>1742.8308354170235</v>
      </c>
      <c r="O18" s="95">
        <f t="shared" si="4"/>
        <v>-1742.8308354170235</v>
      </c>
      <c r="P18" s="96">
        <f t="shared" si="5"/>
        <v>-48799263.391676657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84000</v>
      </c>
      <c r="M23" s="89"/>
      <c r="N23" s="89"/>
      <c r="O23" s="89"/>
      <c r="P23" s="90">
        <f>SUM(P16:P22)</f>
        <v>-146397790.17502996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636548</v>
      </c>
      <c r="D30" s="175"/>
      <c r="E30" s="176">
        <f>$G$10</f>
        <v>1742.8308354170235</v>
      </c>
      <c r="F30" s="176"/>
      <c r="G30" s="175">
        <f>C30*E30</f>
        <v>1109395482.6230354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636548</v>
      </c>
      <c r="D37" s="175"/>
      <c r="E37" s="175">
        <f>$G$30+$O$30-K37</f>
        <v>1109395482.6230354</v>
      </c>
      <c r="F37" s="175"/>
      <c r="G37" s="176">
        <f>E37/C37</f>
        <v>1742.8308354170235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720548</v>
      </c>
      <c r="D44" s="168"/>
      <c r="E44" s="63"/>
      <c r="F44" s="169">
        <f>$K$30</f>
        <v>0</v>
      </c>
      <c r="G44" s="170"/>
      <c r="H44" s="170">
        <f>$L$23</f>
        <v>84000</v>
      </c>
      <c r="I44" s="170"/>
      <c r="J44" s="170"/>
      <c r="K44" s="171">
        <f>$C$44-$H$44+$F$44+$O$44</f>
        <v>636548</v>
      </c>
      <c r="L44" s="171"/>
      <c r="M44" s="64">
        <f>SUM($K$44)/D10</f>
        <v>0.84873066666666663</v>
      </c>
      <c r="N44" s="65">
        <f>$G$37</f>
        <v>1742.8308354170235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FFC000"/>
    <pageSetUpPr fitToPage="1"/>
  </sheetPr>
  <dimension ref="B1:Y124"/>
  <sheetViews>
    <sheetView showGridLines="0" topLeftCell="A28" zoomScaleNormal="100" workbookViewId="0">
      <selection activeCell="R38" sqref="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SUM('0724'!K44:L44)</f>
        <v>636548</v>
      </c>
      <c r="F10" s="42"/>
      <c r="G10" s="12">
        <f>SUM('0724'!N44)</f>
        <v>1742.8308354170235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120</v>
      </c>
      <c r="L16" s="35">
        <v>140000</v>
      </c>
      <c r="M16" s="102"/>
      <c r="N16" s="91">
        <f>IF(L16="","",($G$10))</f>
        <v>1742.8308354170235</v>
      </c>
      <c r="O16" s="92">
        <f>IF(L16="","",(SUM(M16)-N16))</f>
        <v>-1742.8308354170235</v>
      </c>
      <c r="P16" s="93">
        <f>IF(L16="","",(L16*O16))</f>
        <v>-243996316.95838329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140000</v>
      </c>
      <c r="M23" s="89"/>
      <c r="N23" s="89"/>
      <c r="O23" s="89"/>
      <c r="P23" s="90">
        <f>SUM(P16:P22)</f>
        <v>-243996316.95838329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496548</v>
      </c>
      <c r="D30" s="175"/>
      <c r="E30" s="176">
        <f>$G$10</f>
        <v>1742.8308354170235</v>
      </c>
      <c r="F30" s="176"/>
      <c r="G30" s="175">
        <f>C30*E30</f>
        <v>865399165.66465223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496548</v>
      </c>
      <c r="D37" s="175"/>
      <c r="E37" s="175">
        <f>$G$30+$O$30-K37</f>
        <v>865399165.66465223</v>
      </c>
      <c r="F37" s="175"/>
      <c r="G37" s="176">
        <f>E37/C37</f>
        <v>1742.8308354170235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140000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121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636548</v>
      </c>
      <c r="D44" s="168"/>
      <c r="E44" s="63"/>
      <c r="F44" s="169">
        <f>$K$30</f>
        <v>0</v>
      </c>
      <c r="G44" s="170"/>
      <c r="H44" s="170">
        <f>$L$23</f>
        <v>140000</v>
      </c>
      <c r="I44" s="170"/>
      <c r="J44" s="170"/>
      <c r="K44" s="171">
        <f>$C$44-$H$44+$F$44+$O$44</f>
        <v>496548</v>
      </c>
      <c r="L44" s="171"/>
      <c r="M44" s="64">
        <f>SUM($K$44)/D10</f>
        <v>0.66206399999999999</v>
      </c>
      <c r="N44" s="65">
        <f>$G$37</f>
        <v>1742.8308354170235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B1:Y124"/>
  <sheetViews>
    <sheetView showGridLines="0" topLeftCell="A33" zoomScaleNormal="100" workbookViewId="0">
      <selection activeCell="R38" sqref="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SUM('0729 (신광)'!K44:L44)</f>
        <v>496548</v>
      </c>
      <c r="F10" s="42"/>
      <c r="G10" s="12">
        <f>SUM('0729 (신광)'!N44)</f>
        <v>1742.8308354170235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122</v>
      </c>
      <c r="L16" s="35">
        <v>24000</v>
      </c>
      <c r="M16" s="102"/>
      <c r="N16" s="91">
        <f>IF(L16="","",($G$10))</f>
        <v>1742.8308354170235</v>
      </c>
      <c r="O16" s="92">
        <f>IF(L16="","",(SUM(M16)-N16))</f>
        <v>-1742.8308354170235</v>
      </c>
      <c r="P16" s="93">
        <f>IF(L16="","",(L16*O16))</f>
        <v>-41827940.050008565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24000</v>
      </c>
      <c r="M23" s="89"/>
      <c r="N23" s="89"/>
      <c r="O23" s="89"/>
      <c r="P23" s="90">
        <f>SUM(P16:P22)</f>
        <v>-41827940.050008565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472548</v>
      </c>
      <c r="D30" s="175"/>
      <c r="E30" s="176">
        <f>$G$10</f>
        <v>1742.8308354170235</v>
      </c>
      <c r="F30" s="176"/>
      <c r="G30" s="175">
        <f>C30*E30</f>
        <v>823571225.61464369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472548</v>
      </c>
      <c r="D37" s="175"/>
      <c r="E37" s="175">
        <f>$G$30+$O$30-K37</f>
        <v>823571225.61464369</v>
      </c>
      <c r="F37" s="175"/>
      <c r="G37" s="176">
        <f>E37/C37</f>
        <v>1742.8308354170238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140000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121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496548</v>
      </c>
      <c r="D44" s="168"/>
      <c r="E44" s="63"/>
      <c r="F44" s="169">
        <f>$K$30</f>
        <v>0</v>
      </c>
      <c r="G44" s="170"/>
      <c r="H44" s="170">
        <f>$L$23</f>
        <v>24000</v>
      </c>
      <c r="I44" s="170"/>
      <c r="J44" s="170"/>
      <c r="K44" s="171">
        <f>$C$44-$H$44+$F$44+$O$44</f>
        <v>472548</v>
      </c>
      <c r="L44" s="171"/>
      <c r="M44" s="64">
        <f>SUM($K$44)/D10</f>
        <v>0.63006399999999996</v>
      </c>
      <c r="N44" s="65">
        <f>$G$37</f>
        <v>1742.8308354170238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B1:Y124"/>
  <sheetViews>
    <sheetView showGridLines="0" topLeftCell="A40" zoomScaleNormal="100" workbookViewId="0">
      <selection activeCell="R46" sqref="R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SUM('0729'!K44:L44)</f>
        <v>472548</v>
      </c>
      <c r="F10" s="42"/>
      <c r="G10" s="12">
        <f>SUM('0729'!N44)</f>
        <v>1742.8308354170238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64</v>
      </c>
      <c r="L16" s="35">
        <v>8000</v>
      </c>
      <c r="M16" s="102"/>
      <c r="N16" s="91">
        <f>IF(L16="","",($G$10))</f>
        <v>1742.8308354170238</v>
      </c>
      <c r="O16" s="92">
        <f>IF(L16="","",(SUM(M16)-N16))</f>
        <v>-1742.8308354170238</v>
      </c>
      <c r="P16" s="93">
        <f>IF(L16="","",(L16*O16))</f>
        <v>-13942646.683336191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-13942646.683336191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464548</v>
      </c>
      <c r="D30" s="175"/>
      <c r="E30" s="176">
        <f>$G$10</f>
        <v>1742.8308354170238</v>
      </c>
      <c r="F30" s="176"/>
      <c r="G30" s="175">
        <f>C30*E30</f>
        <v>809628578.93130755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464548</v>
      </c>
      <c r="D37" s="175"/>
      <c r="E37" s="175">
        <f>$G$30+$O$30-K37</f>
        <v>809628578.93130755</v>
      </c>
      <c r="F37" s="175"/>
      <c r="G37" s="176">
        <f>E37/C37</f>
        <v>1742.8308354170238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140000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121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472548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464548</v>
      </c>
      <c r="L44" s="171"/>
      <c r="M44" s="64">
        <f>SUM($K$44)/D10</f>
        <v>0.61939733333333336</v>
      </c>
      <c r="N44" s="65">
        <f>$G$37</f>
        <v>1742.8308354170238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FFFF00"/>
    <pageSetUpPr fitToPage="1"/>
  </sheetPr>
  <dimension ref="B1:Y124"/>
  <sheetViews>
    <sheetView showGridLines="0" topLeftCell="A28" zoomScaleNormal="100" workbookViewId="0">
      <selection activeCell="E9" sqref="E9:G1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SUM('0730'!K44:L44)</f>
        <v>464548</v>
      </c>
      <c r="F10" s="42"/>
      <c r="G10" s="12">
        <f>SUM('0730'!N44)</f>
        <v>1742.8308354170238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464548</v>
      </c>
      <c r="D30" s="175"/>
      <c r="E30" s="176">
        <f>$G$10</f>
        <v>1742.8308354170238</v>
      </c>
      <c r="F30" s="176"/>
      <c r="G30" s="175">
        <f>C30*E30</f>
        <v>809628578.93130755</v>
      </c>
      <c r="H30" s="201"/>
      <c r="I30" s="16"/>
      <c r="J30" s="47" t="s">
        <v>11</v>
      </c>
      <c r="K30" s="208">
        <f>51489</f>
        <v>51489</v>
      </c>
      <c r="L30" s="209"/>
      <c r="M30" s="210">
        <v>1738.9106737950499</v>
      </c>
      <c r="N30" s="211"/>
      <c r="O30" s="175">
        <f>K30*M30</f>
        <v>89534771.683033317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516037</v>
      </c>
      <c r="D37" s="175"/>
      <c r="E37" s="175">
        <f>$G$30+$O$30-K37</f>
        <v>899163350.6143409</v>
      </c>
      <c r="F37" s="175"/>
      <c r="G37" s="176">
        <f>E37/C37</f>
        <v>1742.4396905926144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140000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121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464548</v>
      </c>
      <c r="D44" s="168"/>
      <c r="E44" s="63"/>
      <c r="F44" s="169">
        <f>$K$30</f>
        <v>51489</v>
      </c>
      <c r="G44" s="170"/>
      <c r="H44" s="170">
        <f>$L$23</f>
        <v>0</v>
      </c>
      <c r="I44" s="170"/>
      <c r="J44" s="170"/>
      <c r="K44" s="171">
        <f>$C$44-$H$44+$F$44+$O$44</f>
        <v>516037</v>
      </c>
      <c r="L44" s="171"/>
      <c r="M44" s="64">
        <f>SUM($K$44)/D10</f>
        <v>0.68804933333333329</v>
      </c>
      <c r="N44" s="65">
        <f>$G$37</f>
        <v>1742.4396905926144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00B0F0"/>
    <pageSetUpPr fitToPage="1"/>
  </sheetPr>
  <dimension ref="B1:Y124"/>
  <sheetViews>
    <sheetView showGridLines="0" topLeftCell="A22" zoomScaleNormal="100" workbookViewId="0">
      <selection activeCell="R43" sqref="R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SUM('0731 (입고)'!K44:L44)</f>
        <v>516037</v>
      </c>
      <c r="F10" s="42"/>
      <c r="G10" s="12">
        <f>SUM('0731 (입고)'!N44)</f>
        <v>1742.4396905926144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516037</v>
      </c>
      <c r="D30" s="175"/>
      <c r="E30" s="176">
        <f>$G$10</f>
        <v>1742.4396905926144</v>
      </c>
      <c r="F30" s="176"/>
      <c r="G30" s="175">
        <f>C30*E30</f>
        <v>899163350.6143409</v>
      </c>
      <c r="H30" s="201"/>
      <c r="I30" s="16"/>
      <c r="J30" s="47" t="s">
        <v>11</v>
      </c>
      <c r="K30" s="208">
        <v>126573</v>
      </c>
      <c r="L30" s="209"/>
      <c r="M30" s="210">
        <v>1569.01133789148</v>
      </c>
      <c r="N30" s="211"/>
      <c r="O30" s="175">
        <f>K30*M30</f>
        <v>198594472.07093829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/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642610</v>
      </c>
      <c r="D37" s="175"/>
      <c r="E37" s="175">
        <f>$G$30+$O$30-K37</f>
        <v>1097757822.6852791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/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/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516037</v>
      </c>
      <c r="D44" s="168"/>
      <c r="E44" s="63"/>
      <c r="F44" s="169">
        <f>$K$30</f>
        <v>126573</v>
      </c>
      <c r="G44" s="170"/>
      <c r="H44" s="170">
        <f>$L$23</f>
        <v>0</v>
      </c>
      <c r="I44" s="170"/>
      <c r="J44" s="170"/>
      <c r="K44" s="171">
        <f>$C$44-$H$44+$F$44+$O$44</f>
        <v>642610</v>
      </c>
      <c r="L44" s="171"/>
      <c r="M44" s="64">
        <f>SUM($K$44)/D10</f>
        <v>0.85681333333333332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B1:Y124"/>
  <sheetViews>
    <sheetView showGridLines="0" topLeftCell="A4" zoomScaleNormal="100" workbookViewId="0">
      <selection activeCell="N49" sqref="N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SUM('08월 기초 &lt;0826 (입고)&gt;'!K44:L44)</f>
        <v>642610</v>
      </c>
      <c r="F10" s="42"/>
      <c r="G10" s="12">
        <f>SUM('08월 기초 &lt;0826 (입고)&gt;'!N44)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123</v>
      </c>
      <c r="L16" s="35">
        <v>20000</v>
      </c>
      <c r="M16" s="102"/>
      <c r="N16" s="91">
        <f>IF(L16="","",($G$10))</f>
        <v>1708.2800184953223</v>
      </c>
      <c r="O16" s="92">
        <f>IF(L16="","",(SUM(M16)-N16))</f>
        <v>-1708.2800184953223</v>
      </c>
      <c r="P16" s="93">
        <f>IF(L16="","",(L16*O16))</f>
        <v>-34165600.369906448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124</v>
      </c>
      <c r="L17" s="35">
        <v>28000</v>
      </c>
      <c r="M17" s="15"/>
      <c r="N17" s="94">
        <f t="shared" ref="N17:N22" si="3">IF(L17="","",($G$10))</f>
        <v>1708.2800184953223</v>
      </c>
      <c r="O17" s="95">
        <f t="shared" ref="O17:O22" si="4">IF(L17="","",(SUM(M17)-N17))</f>
        <v>-1708.2800184953223</v>
      </c>
      <c r="P17" s="96">
        <f t="shared" ref="P17:P22" si="5">IF(L17="","",(L17*O17))</f>
        <v>-47831840.517869025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125</v>
      </c>
      <c r="L18" s="35">
        <v>32000</v>
      </c>
      <c r="M18" s="15"/>
      <c r="N18" s="94">
        <f t="shared" si="3"/>
        <v>1708.2800184953223</v>
      </c>
      <c r="O18" s="95">
        <f t="shared" si="4"/>
        <v>-1708.2800184953223</v>
      </c>
      <c r="P18" s="96">
        <f t="shared" si="5"/>
        <v>-54664960.591850318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80000</v>
      </c>
      <c r="M23" s="89"/>
      <c r="N23" s="89"/>
      <c r="O23" s="89"/>
      <c r="P23" s="90">
        <f>SUM(P16:P22)</f>
        <v>-136662401.47962579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562610</v>
      </c>
      <c r="D30" s="175"/>
      <c r="E30" s="176">
        <f>$G$10</f>
        <v>1708.2800184953223</v>
      </c>
      <c r="F30" s="176"/>
      <c r="G30" s="175">
        <f>C30*E30</f>
        <v>961095421.20565331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562610</v>
      </c>
      <c r="D37" s="175"/>
      <c r="E37" s="175">
        <f>$G$30+$O$30-K37</f>
        <v>961095421.20565331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v>140000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121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23"/>
      <c r="S41" s="131"/>
      <c r="T41" s="127"/>
      <c r="U41" s="127"/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642610</v>
      </c>
      <c r="D44" s="168"/>
      <c r="E44" s="63"/>
      <c r="F44" s="169">
        <f>$K$30</f>
        <v>0</v>
      </c>
      <c r="G44" s="170"/>
      <c r="H44" s="170">
        <f>$L$23</f>
        <v>80000</v>
      </c>
      <c r="I44" s="170"/>
      <c r="J44" s="170"/>
      <c r="K44" s="171">
        <f>$C$44-$H$44+$F$44+$O$44</f>
        <v>576486</v>
      </c>
      <c r="L44" s="171"/>
      <c r="M44" s="64">
        <f>SUM($K$44)/D10</f>
        <v>0.768648</v>
      </c>
      <c r="N44" s="65">
        <f>$G$37</f>
        <v>1708.2800184953223</v>
      </c>
      <c r="O44" s="101">
        <v>13876</v>
      </c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FFC000"/>
    <pageSetUpPr fitToPage="1"/>
  </sheetPr>
  <dimension ref="B1:Y124"/>
  <sheetViews>
    <sheetView showGridLines="0" topLeftCell="A25" zoomScaleNormal="100" workbookViewId="0">
      <selection activeCell="S45" sqref="S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SUM('0803'!K44:L44)</f>
        <v>576486</v>
      </c>
      <c r="F10" s="42"/>
      <c r="G10" s="12">
        <f>SUM('0803'!N44)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576486</v>
      </c>
      <c r="D30" s="175"/>
      <c r="E30" s="176">
        <f>$G$10</f>
        <v>1708.2800184953223</v>
      </c>
      <c r="F30" s="176"/>
      <c r="G30" s="175">
        <f>C30*E30</f>
        <v>984799514.74229443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576486</v>
      </c>
      <c r="D37" s="175"/>
      <c r="E37" s="175">
        <f>$G$30+$O$30-K37</f>
        <v>984799514.74229443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</f>
        <v>112000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47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576486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576486</v>
      </c>
      <c r="L44" s="171"/>
      <c r="M44" s="64">
        <f>SUM($K$44)/D10</f>
        <v>0.768648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B1:Y124"/>
  <sheetViews>
    <sheetView showGridLines="0" topLeftCell="A12" zoomScaleNormal="100" workbookViewId="0">
      <selection activeCell="K44" sqref="K44:L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SUM('0807'!K44:L44)</f>
        <v>576486</v>
      </c>
      <c r="F10" s="42"/>
      <c r="G10" s="12">
        <f>SUM('0807'!N44)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73</v>
      </c>
      <c r="L16" s="35">
        <v>12000</v>
      </c>
      <c r="M16" s="102"/>
      <c r="N16" s="91">
        <f>IF(L16="","",($G$10))</f>
        <v>1708.2800184953223</v>
      </c>
      <c r="O16" s="92">
        <f>IF(L16="","",(SUM(M16)-N16))</f>
        <v>-1708.2800184953223</v>
      </c>
      <c r="P16" s="93">
        <f>IF(L16="","",(L16*O16))</f>
        <v>-20499360.221943866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100</v>
      </c>
      <c r="L17" s="35">
        <v>16000</v>
      </c>
      <c r="M17" s="15"/>
      <c r="N17" s="94">
        <f t="shared" ref="N17:N22" si="3">IF(L17="","",($G$10))</f>
        <v>1708.2800184953223</v>
      </c>
      <c r="O17" s="95">
        <f t="shared" ref="O17:O22" si="4">IF(L17="","",(SUM(M17)-N17))</f>
        <v>-1708.2800184953223</v>
      </c>
      <c r="P17" s="96">
        <f t="shared" ref="P17:P22" si="5">IF(L17="","",(L17*O17))</f>
        <v>-27332480.295925159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-47831840.517869025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548486</v>
      </c>
      <c r="D30" s="175"/>
      <c r="E30" s="176">
        <f>$G$10</f>
        <v>1708.2800184953223</v>
      </c>
      <c r="F30" s="176"/>
      <c r="G30" s="175">
        <f>C30*E30</f>
        <v>936967674.22442532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548486</v>
      </c>
      <c r="D37" s="175"/>
      <c r="E37" s="175">
        <f>$G$30+$O$30-K37</f>
        <v>936967674.22442532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</f>
        <v>112000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47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2"/>
      <c r="S42" s="122"/>
      <c r="T42" s="131"/>
      <c r="U42" s="127"/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576486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548486</v>
      </c>
      <c r="L44" s="171"/>
      <c r="M44" s="64">
        <f>SUM($K$44)/D10</f>
        <v>0.73131466666666667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B1:Y124"/>
  <sheetViews>
    <sheetView showGridLines="0" topLeftCell="A19" zoomScaleNormal="100" workbookViewId="0">
      <selection activeCell="O47" sqref="O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SUM('0808'!K44:L44)</f>
        <v>548486</v>
      </c>
      <c r="F10" s="42"/>
      <c r="G10" s="12">
        <f>SUM('0808'!N44)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48</v>
      </c>
      <c r="L16" s="35">
        <v>28000</v>
      </c>
      <c r="M16" s="102"/>
      <c r="N16" s="91">
        <f>IF(L16="","",($G$10))</f>
        <v>1708.2800184953223</v>
      </c>
      <c r="O16" s="92">
        <f>IF(L16="","",(SUM(M16)-N16))</f>
        <v>-1708.2800184953223</v>
      </c>
      <c r="P16" s="93">
        <f>IF(L16="","",(L16*O16))</f>
        <v>-47831840.517869025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-47831840.517869025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520486</v>
      </c>
      <c r="D30" s="175"/>
      <c r="E30" s="176">
        <f>$G$10</f>
        <v>1708.2800184953223</v>
      </c>
      <c r="F30" s="176"/>
      <c r="G30" s="175">
        <f>C30*E30</f>
        <v>889135833.70655632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520486</v>
      </c>
      <c r="D37" s="175"/>
      <c r="E37" s="175">
        <f>$G$30+$O$30-K37</f>
        <v>889135833.70655632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</f>
        <v>84000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548486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520486</v>
      </c>
      <c r="L44" s="171"/>
      <c r="M44" s="64">
        <f>SUM($K$44)/D10</f>
        <v>0.69398133333333334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B1:Y124"/>
  <sheetViews>
    <sheetView showGridLines="0" topLeftCell="A10" zoomScaleNormal="100" workbookViewId="0">
      <selection activeCell="R38" sqref="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SUM('0810'!K44:L44)</f>
        <v>520486</v>
      </c>
      <c r="F10" s="42"/>
      <c r="G10" s="12">
        <f>SUM('0810'!N44)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64</v>
      </c>
      <c r="L16" s="35">
        <v>8000</v>
      </c>
      <c r="M16" s="102"/>
      <c r="N16" s="91">
        <f>IF(L16="","",($G$10))</f>
        <v>1708.2800184953223</v>
      </c>
      <c r="O16" s="92">
        <f>IF(L16="","",(SUM(M16)-N16))</f>
        <v>-1708.2800184953223</v>
      </c>
      <c r="P16" s="93">
        <f>IF(L16="","",(L16*O16))</f>
        <v>-13666240.14796258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71</v>
      </c>
      <c r="L17" s="35">
        <v>32000</v>
      </c>
      <c r="M17" s="15"/>
      <c r="N17" s="94">
        <f t="shared" ref="N17:N22" si="3">IF(L17="","",($G$10))</f>
        <v>1708.2800184953223</v>
      </c>
      <c r="O17" s="95">
        <f t="shared" ref="O17:O22" si="4">IF(L17="","",(SUM(M17)-N17))</f>
        <v>-1708.2800184953223</v>
      </c>
      <c r="P17" s="96">
        <f t="shared" ref="P17:P22" si="5">IF(L17="","",(L17*O17))</f>
        <v>-54664960.591850318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40000</v>
      </c>
      <c r="M23" s="89"/>
      <c r="N23" s="89"/>
      <c r="O23" s="89"/>
      <c r="P23" s="90">
        <f>SUM(P16:P22)</f>
        <v>-68331200.739812896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480486</v>
      </c>
      <c r="D30" s="175"/>
      <c r="E30" s="176">
        <f>$G$10</f>
        <v>1708.2800184953223</v>
      </c>
      <c r="F30" s="176"/>
      <c r="G30" s="175">
        <f>C30*E30</f>
        <v>820804632.96674347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480486</v>
      </c>
      <c r="D37" s="175"/>
      <c r="E37" s="175">
        <f>$G$30+$O$30-K37</f>
        <v>820804632.96674347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</f>
        <v>84000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520486</v>
      </c>
      <c r="D44" s="168"/>
      <c r="E44" s="63"/>
      <c r="F44" s="169">
        <f>$K$30</f>
        <v>0</v>
      </c>
      <c r="G44" s="170"/>
      <c r="H44" s="170">
        <f>$L$23</f>
        <v>40000</v>
      </c>
      <c r="I44" s="170"/>
      <c r="J44" s="170"/>
      <c r="K44" s="171">
        <f>$C$44-$H$44+$F$44+$O$44</f>
        <v>480486</v>
      </c>
      <c r="L44" s="171"/>
      <c r="M44" s="64">
        <f>SUM($K$44)/D10</f>
        <v>0.640648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B1:Y124"/>
  <sheetViews>
    <sheetView showGridLines="0" topLeftCell="A11" zoomScaleNormal="100" workbookViewId="0">
      <selection activeCell="S53" sqref="S53:T5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SUM('0811'!K44:L44)</f>
        <v>480486</v>
      </c>
      <c r="F10" s="42"/>
      <c r="G10" s="12">
        <f>SUM('0811'!N44)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99</v>
      </c>
      <c r="L16" s="35">
        <v>28000</v>
      </c>
      <c r="M16" s="102"/>
      <c r="N16" s="91">
        <f>IF(L16="","",($G$10))</f>
        <v>1708.2800184953223</v>
      </c>
      <c r="O16" s="92">
        <f>IF(L16="","",(SUM(M16)-N16))</f>
        <v>-1708.2800184953223</v>
      </c>
      <c r="P16" s="93">
        <f>IF(L16="","",(L16*O16))</f>
        <v>-47831840.517869025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48</v>
      </c>
      <c r="L17" s="35">
        <v>24000</v>
      </c>
      <c r="M17" s="15"/>
      <c r="N17" s="94">
        <f t="shared" ref="N17:N22" si="3">IF(L17="","",($G$10))</f>
        <v>1708.2800184953223</v>
      </c>
      <c r="O17" s="95">
        <f t="shared" ref="O17:O22" si="4">IF(L17="","",(SUM(M17)-N17))</f>
        <v>-1708.2800184953223</v>
      </c>
      <c r="P17" s="96">
        <f t="shared" ref="P17:P22" si="5">IF(L17="","",(L17*O17))</f>
        <v>-40998720.443887733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63</v>
      </c>
      <c r="L18" s="35">
        <v>8000</v>
      </c>
      <c r="M18" s="15"/>
      <c r="N18" s="94">
        <f t="shared" si="3"/>
        <v>1708.2800184953223</v>
      </c>
      <c r="O18" s="95">
        <f t="shared" si="4"/>
        <v>-1708.2800184953223</v>
      </c>
      <c r="P18" s="96">
        <f t="shared" si="5"/>
        <v>-13666240.14796258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60000</v>
      </c>
      <c r="M23" s="89"/>
      <c r="N23" s="89"/>
      <c r="O23" s="89"/>
      <c r="P23" s="90">
        <f>SUM(P16:P22)</f>
        <v>-102496801.10971935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420486</v>
      </c>
      <c r="D30" s="175"/>
      <c r="E30" s="176">
        <f>$G$10</f>
        <v>1708.2800184953223</v>
      </c>
      <c r="F30" s="176"/>
      <c r="G30" s="175">
        <f>C30*E30</f>
        <v>718307831.85702407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420486</v>
      </c>
      <c r="D37" s="175"/>
      <c r="E37" s="175">
        <f>$G$30+$O$30-K37</f>
        <v>718307831.85702407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</f>
        <v>84000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50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2"/>
      <c r="S43" s="122"/>
      <c r="T43" s="131"/>
      <c r="U43" s="127"/>
      <c r="V43" s="127"/>
      <c r="W43" s="127"/>
      <c r="X43" s="127"/>
    </row>
    <row r="44" spans="2:25" ht="24.75" customHeight="1">
      <c r="B44" s="62" t="s">
        <v>42</v>
      </c>
      <c r="C44" s="167">
        <f>SUM($E$10)</f>
        <v>480486</v>
      </c>
      <c r="D44" s="168"/>
      <c r="E44" s="63"/>
      <c r="F44" s="169">
        <f>$K$30</f>
        <v>0</v>
      </c>
      <c r="G44" s="170"/>
      <c r="H44" s="170">
        <f>$L$23</f>
        <v>60000</v>
      </c>
      <c r="I44" s="170"/>
      <c r="J44" s="170"/>
      <c r="K44" s="171">
        <f>$C$44-$H$44+$F$44+$O$44</f>
        <v>420486</v>
      </c>
      <c r="L44" s="171"/>
      <c r="M44" s="64">
        <f>SUM($K$44)/D10</f>
        <v>0.56064800000000004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K50" s="253"/>
      <c r="L50" s="253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8">
    <mergeCell ref="K50:L50"/>
    <mergeCell ref="C44:D44"/>
    <mergeCell ref="F44:G44"/>
    <mergeCell ref="H44:J44"/>
    <mergeCell ref="K44:L44"/>
    <mergeCell ref="C45:C46"/>
    <mergeCell ref="D45:F45"/>
    <mergeCell ref="G45:O45"/>
    <mergeCell ref="H46:N46"/>
    <mergeCell ref="C42:D42"/>
    <mergeCell ref="F42:G42"/>
    <mergeCell ref="H42:J42"/>
    <mergeCell ref="K42:L42"/>
    <mergeCell ref="C43:D43"/>
    <mergeCell ref="F43:G43"/>
    <mergeCell ref="H43:J43"/>
    <mergeCell ref="K43:L43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B1:Y124"/>
  <sheetViews>
    <sheetView showGridLines="0" topLeftCell="A12" zoomScaleNormal="100" workbookViewId="0">
      <selection activeCell="R52" sqref="R5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SUM('0812'!K44:L44)</f>
        <v>420486</v>
      </c>
      <c r="F10" s="42"/>
      <c r="G10" s="12">
        <f>SUM('0812'!N44)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126</v>
      </c>
      <c r="L16" s="35">
        <v>32000</v>
      </c>
      <c r="M16" s="102"/>
      <c r="N16" s="91">
        <f>IF(L16="","",($G$10))</f>
        <v>1708.2800184953223</v>
      </c>
      <c r="O16" s="92">
        <f>IF(L16="","",(SUM(M16)-N16))</f>
        <v>-1708.2800184953223</v>
      </c>
      <c r="P16" s="93">
        <f>IF(L16="","",(L16*O16))</f>
        <v>-54664960.591850318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32000</v>
      </c>
      <c r="M23" s="89"/>
      <c r="N23" s="89"/>
      <c r="O23" s="89"/>
      <c r="P23" s="90">
        <f>SUM(P16:P22)</f>
        <v>-54664960.591850318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388486</v>
      </c>
      <c r="D30" s="175"/>
      <c r="E30" s="176">
        <f>$G$10</f>
        <v>1708.2800184953223</v>
      </c>
      <c r="F30" s="176"/>
      <c r="G30" s="175">
        <f>C30*E30</f>
        <v>663642871.26517379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388486</v>
      </c>
      <c r="D37" s="175"/>
      <c r="E37" s="175">
        <f>$G$30+$O$30-K37</f>
        <v>663642871.26517379</v>
      </c>
      <c r="F37" s="175"/>
      <c r="G37" s="176">
        <f>E37/C37</f>
        <v>1708.2800184953223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420486</v>
      </c>
      <c r="D44" s="168"/>
      <c r="E44" s="63"/>
      <c r="F44" s="169">
        <f>$K$30</f>
        <v>0</v>
      </c>
      <c r="G44" s="170"/>
      <c r="H44" s="170">
        <f>$L$23</f>
        <v>32000</v>
      </c>
      <c r="I44" s="170"/>
      <c r="J44" s="170"/>
      <c r="K44" s="171">
        <f>$C$44-$H$44+$F$44+$O$44</f>
        <v>388486</v>
      </c>
      <c r="L44" s="171"/>
      <c r="M44" s="64">
        <f>SUM($K$44)/D10</f>
        <v>0.51798133333333329</v>
      </c>
      <c r="N44" s="65">
        <f>$G$37</f>
        <v>1708.2800184953223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3:D43"/>
    <mergeCell ref="F43:G43"/>
    <mergeCell ref="H43:J43"/>
    <mergeCell ref="K43:L43"/>
    <mergeCell ref="C44:D44"/>
    <mergeCell ref="F44:G44"/>
    <mergeCell ref="H44:J44"/>
    <mergeCell ref="K44:L44"/>
    <mergeCell ref="C45:C46"/>
    <mergeCell ref="D45:F45"/>
    <mergeCell ref="G45:O45"/>
    <mergeCell ref="H46:N46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SUM('0813'!K44:L44)</f>
        <v>388486</v>
      </c>
      <c r="F10" s="42"/>
      <c r="G10" s="12">
        <f>SUM('0813'!N44)</f>
        <v>1708.2800184953223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388486</v>
      </c>
      <c r="D30" s="175"/>
      <c r="E30" s="176">
        <f>$G$10</f>
        <v>1708.2800184953223</v>
      </c>
      <c r="F30" s="176"/>
      <c r="G30" s="175">
        <f>C30*E30</f>
        <v>663642871.26517379</v>
      </c>
      <c r="H30" s="201"/>
      <c r="I30" s="16"/>
      <c r="J30" s="47" t="s">
        <v>11</v>
      </c>
      <c r="K30" s="208">
        <f>27762</f>
        <v>27762</v>
      </c>
      <c r="L30" s="209"/>
      <c r="M30" s="210">
        <v>1569.01133789148</v>
      </c>
      <c r="N30" s="211"/>
      <c r="O30" s="175">
        <f>K30*M30</f>
        <v>43558892.762543269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416248</v>
      </c>
      <c r="D37" s="175"/>
      <c r="E37" s="175">
        <f>$G$30+$O$30-K37</f>
        <v>707201764.02771711</v>
      </c>
      <c r="F37" s="175"/>
      <c r="G37" s="176">
        <f>E37/C37</f>
        <v>1698.9913802053513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388486</v>
      </c>
      <c r="D44" s="168"/>
      <c r="E44" s="63"/>
      <c r="F44" s="169">
        <f>$K$30</f>
        <v>27762</v>
      </c>
      <c r="G44" s="170"/>
      <c r="H44" s="170">
        <f>$L$23</f>
        <v>0</v>
      </c>
      <c r="I44" s="170"/>
      <c r="J44" s="170"/>
      <c r="K44" s="171">
        <f>$C$44-$H$44+$F$44+$O$44</f>
        <v>416248</v>
      </c>
      <c r="L44" s="171"/>
      <c r="M44" s="64">
        <f>SUM($K$44)/D10</f>
        <v>0.55499733333333334</v>
      </c>
      <c r="N44" s="65">
        <f>$G$37</f>
        <v>1698.9913802053513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B1:Y124"/>
  <sheetViews>
    <sheetView showGridLines="0" topLeftCell="A11" zoomScaleNormal="100" workbookViewId="0">
      <selection activeCell="H46" sqref="H46:N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SUM('0814 (입고)'!K44:L44)</f>
        <v>416248</v>
      </c>
      <c r="F10" s="42"/>
      <c r="G10" s="12">
        <f>SUM('0814 (입고)'!N44)</f>
        <v>1698.9913802053513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73</v>
      </c>
      <c r="L16" s="35">
        <v>16000</v>
      </c>
      <c r="M16" s="102"/>
      <c r="N16" s="91">
        <f>IF(L16="","",($G$10))</f>
        <v>1698.9913802053513</v>
      </c>
      <c r="O16" s="92">
        <f>IF(L16="","",(SUM(M16)-N16))</f>
        <v>-1698.9913802053513</v>
      </c>
      <c r="P16" s="93">
        <f>IF(L16="","",(L16*O16))</f>
        <v>-27183862.083285622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100</v>
      </c>
      <c r="L17" s="35">
        <v>12000</v>
      </c>
      <c r="M17" s="15"/>
      <c r="N17" s="94">
        <f t="shared" ref="N17:N22" si="3">IF(L17="","",($G$10))</f>
        <v>1698.9913802053513</v>
      </c>
      <c r="O17" s="95">
        <f t="shared" ref="O17:O22" si="4">IF(L17="","",(SUM(M17)-N17))</f>
        <v>-1698.9913802053513</v>
      </c>
      <c r="P17" s="96">
        <f t="shared" ref="P17:P22" si="5">IF(L17="","",(L17*O17))</f>
        <v>-20387896.562464215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127</v>
      </c>
      <c r="L18" s="35">
        <v>27762</v>
      </c>
      <c r="M18" s="15"/>
      <c r="N18" s="94">
        <f t="shared" si="3"/>
        <v>1698.9913802053513</v>
      </c>
      <c r="O18" s="95">
        <f t="shared" si="4"/>
        <v>-1698.9913802053513</v>
      </c>
      <c r="P18" s="96">
        <f t="shared" si="5"/>
        <v>-47167398.697260961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55762</v>
      </c>
      <c r="M23" s="89"/>
      <c r="N23" s="89"/>
      <c r="O23" s="89"/>
      <c r="P23" s="90">
        <f>SUM(P16:P22)</f>
        <v>-94739157.343010798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360486</v>
      </c>
      <c r="D30" s="175"/>
      <c r="E30" s="176">
        <f>$G$10</f>
        <v>1698.9913802053513</v>
      </c>
      <c r="F30" s="176"/>
      <c r="G30" s="175">
        <f>C30*E30</f>
        <v>612462606.68470633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360486</v>
      </c>
      <c r="D37" s="175"/>
      <c r="E37" s="175">
        <f>$G$30+$O$30-K37</f>
        <v>612462606.68470633</v>
      </c>
      <c r="F37" s="175"/>
      <c r="G37" s="176">
        <f>E37/C37</f>
        <v>1698.9913802053516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416248</v>
      </c>
      <c r="D44" s="168"/>
      <c r="E44" s="63"/>
      <c r="F44" s="169">
        <f>$K$30</f>
        <v>0</v>
      </c>
      <c r="G44" s="170"/>
      <c r="H44" s="170">
        <f>$L$23</f>
        <v>55762</v>
      </c>
      <c r="I44" s="170"/>
      <c r="J44" s="170"/>
      <c r="K44" s="171">
        <f>$C$44-$H$44+$F$44+$O$44</f>
        <v>360486</v>
      </c>
      <c r="L44" s="171"/>
      <c r="M44" s="64">
        <f>SUM($K$44)/D10</f>
        <v>0.48064800000000002</v>
      </c>
      <c r="N44" s="65">
        <f>$G$37</f>
        <v>1698.9913802053516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FFFF00"/>
    <pageSetUpPr fitToPage="1"/>
  </sheetPr>
  <dimension ref="B1:Y124"/>
  <sheetViews>
    <sheetView showGridLines="0" topLeftCell="A25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SUM('0814'!K44:L44)</f>
        <v>360486</v>
      </c>
      <c r="F10" s="42"/>
      <c r="G10" s="12">
        <f>SUM('0814'!N44)</f>
        <v>1698.9913802053516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360486</v>
      </c>
      <c r="D30" s="175"/>
      <c r="E30" s="176">
        <f>$G$10</f>
        <v>1698.9913802053516</v>
      </c>
      <c r="F30" s="176"/>
      <c r="G30" s="175">
        <f>C30*E30</f>
        <v>612462606.68470633</v>
      </c>
      <c r="H30" s="201"/>
      <c r="I30" s="16"/>
      <c r="J30" s="47" t="s">
        <v>11</v>
      </c>
      <c r="K30" s="208">
        <f>87042</f>
        <v>87042</v>
      </c>
      <c r="L30" s="209"/>
      <c r="M30" s="210">
        <v>1569.01133789148</v>
      </c>
      <c r="N30" s="211"/>
      <c r="O30" s="175">
        <f>K30*M30</f>
        <v>136569884.87275019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447528</v>
      </c>
      <c r="D37" s="175"/>
      <c r="E37" s="175">
        <f>$G$30+$O$30-K37</f>
        <v>749032491.55745649</v>
      </c>
      <c r="F37" s="175"/>
      <c r="G37" s="176">
        <f>E37/C37</f>
        <v>1673.7108997815924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360486</v>
      </c>
      <c r="D44" s="168"/>
      <c r="E44" s="63"/>
      <c r="F44" s="169">
        <f>$K$30</f>
        <v>87042</v>
      </c>
      <c r="G44" s="170"/>
      <c r="H44" s="170">
        <f>$L$23</f>
        <v>0</v>
      </c>
      <c r="I44" s="170"/>
      <c r="J44" s="170"/>
      <c r="K44" s="171">
        <f>$C$44-$H$44+$F$44+$O$44</f>
        <v>447528</v>
      </c>
      <c r="L44" s="171"/>
      <c r="M44" s="64">
        <f>SUM($K$44)/D10</f>
        <v>0.59670400000000001</v>
      </c>
      <c r="N44" s="65">
        <f>$G$37</f>
        <v>1673.7108997815924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B1:Y124"/>
  <sheetViews>
    <sheetView showGridLines="0" topLeftCell="A12" zoomScaleNormal="100" workbookViewId="0">
      <selection activeCell="Q42" sqref="Q4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SUM('0815 (입고)'!K44:L44)</f>
        <v>447528</v>
      </c>
      <c r="F10" s="42"/>
      <c r="G10" s="12">
        <f>SUM('0815 (입고)'!N44)</f>
        <v>1673.7108997815924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83</v>
      </c>
      <c r="L16" s="35">
        <v>29628</v>
      </c>
      <c r="M16" s="102"/>
      <c r="N16" s="91">
        <f>IF(L16="","",($G$10))</f>
        <v>1673.7108997815924</v>
      </c>
      <c r="O16" s="92">
        <f>IF(L16="","",(SUM(M16)-N16))</f>
        <v>-1673.7108997815924</v>
      </c>
      <c r="P16" s="93">
        <f>IF(L16="","",(L16*O16))</f>
        <v>-49588706.538729019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83</v>
      </c>
      <c r="L17" s="35">
        <v>29700</v>
      </c>
      <c r="M17" s="15"/>
      <c r="N17" s="94">
        <f t="shared" ref="N17:N22" si="3">IF(L17="","",($G$10))</f>
        <v>1673.7108997815924</v>
      </c>
      <c r="O17" s="95">
        <f t="shared" ref="O17:O22" si="4">IF(L17="","",(SUM(M17)-N17))</f>
        <v>-1673.7108997815924</v>
      </c>
      <c r="P17" s="96">
        <f t="shared" ref="P17:P22" si="5">IF(L17="","",(L17*O17))</f>
        <v>-49709213.72351329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127</v>
      </c>
      <c r="L18" s="35">
        <v>27714</v>
      </c>
      <c r="M18" s="15"/>
      <c r="N18" s="94">
        <f t="shared" si="3"/>
        <v>1673.7108997815924</v>
      </c>
      <c r="O18" s="95">
        <f t="shared" si="4"/>
        <v>-1673.7108997815924</v>
      </c>
      <c r="P18" s="96">
        <f t="shared" si="5"/>
        <v>-46385223.876547053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87042</v>
      </c>
      <c r="M23" s="89"/>
      <c r="N23" s="89"/>
      <c r="O23" s="89"/>
      <c r="P23" s="90">
        <f>SUM(P16:P22)</f>
        <v>-145683144.13878936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360486</v>
      </c>
      <c r="D30" s="175"/>
      <c r="E30" s="176">
        <f>$G$10</f>
        <v>1673.7108997815924</v>
      </c>
      <c r="F30" s="176"/>
      <c r="G30" s="175">
        <f>C30*E30</f>
        <v>603349347.41866708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360486</v>
      </c>
      <c r="D37" s="175"/>
      <c r="E37" s="175">
        <f>$G$30+$O$30-K37</f>
        <v>603349347.41866708</v>
      </c>
      <c r="F37" s="175"/>
      <c r="G37" s="176">
        <f>E37/C37</f>
        <v>1673.7108997815924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447528</v>
      </c>
      <c r="D44" s="168"/>
      <c r="E44" s="63"/>
      <c r="F44" s="169">
        <f>$K$30</f>
        <v>0</v>
      </c>
      <c r="G44" s="170"/>
      <c r="H44" s="170">
        <f>$L$23</f>
        <v>87042</v>
      </c>
      <c r="I44" s="170"/>
      <c r="J44" s="170"/>
      <c r="K44" s="171">
        <f>$C$44-$H$44+$F$44+$O$44</f>
        <v>360486</v>
      </c>
      <c r="L44" s="171"/>
      <c r="M44" s="64">
        <f>SUM($K$44)/D10</f>
        <v>0.48064800000000002</v>
      </c>
      <c r="N44" s="65">
        <f>$G$37</f>
        <v>1673.7108997815924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FFFF00"/>
    <pageSetUpPr fitToPage="1"/>
  </sheetPr>
  <dimension ref="B1:Y124"/>
  <sheetViews>
    <sheetView showGridLines="0" topLeftCell="A19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SUM('0815'!K44:L44)</f>
        <v>360486</v>
      </c>
      <c r="F10" s="42"/>
      <c r="G10" s="12">
        <f>SUM('0815'!N44)</f>
        <v>1673.7108997815924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360486</v>
      </c>
      <c r="D30" s="175"/>
      <c r="E30" s="176">
        <f>$G$10</f>
        <v>1673.7108997815924</v>
      </c>
      <c r="F30" s="176"/>
      <c r="G30" s="175">
        <f>C30*E30</f>
        <v>603349347.41866708</v>
      </c>
      <c r="H30" s="201"/>
      <c r="I30" s="16"/>
      <c r="J30" s="47" t="s">
        <v>11</v>
      </c>
      <c r="K30" s="208">
        <v>59376</v>
      </c>
      <c r="L30" s="209"/>
      <c r="M30" s="210">
        <v>1569.01133789148</v>
      </c>
      <c r="N30" s="211"/>
      <c r="O30" s="175">
        <f>K30*M30</f>
        <v>93161617.198644519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419862</v>
      </c>
      <c r="D37" s="175"/>
      <c r="E37" s="175">
        <f>$G$30+$O$30-K37</f>
        <v>696510964.6173116</v>
      </c>
      <c r="F37" s="175"/>
      <c r="G37" s="176">
        <f>E37/C37</f>
        <v>1658.904508189147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360486</v>
      </c>
      <c r="D44" s="168"/>
      <c r="E44" s="63"/>
      <c r="F44" s="169">
        <f>$K$30</f>
        <v>59376</v>
      </c>
      <c r="G44" s="170"/>
      <c r="H44" s="170">
        <f>$L$23</f>
        <v>0</v>
      </c>
      <c r="I44" s="170"/>
      <c r="J44" s="170"/>
      <c r="K44" s="171">
        <f>$C$44-$H$44+$F$44+$O$44</f>
        <v>419862</v>
      </c>
      <c r="L44" s="171"/>
      <c r="M44" s="64">
        <f>SUM($K$44)/D10</f>
        <v>0.55981599999999998</v>
      </c>
      <c r="N44" s="65">
        <f>$G$37</f>
        <v>1658.904508189147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B1:Y124"/>
  <sheetViews>
    <sheetView showGridLines="0" topLeftCell="A7" zoomScaleNormal="100" workbookViewId="0">
      <selection activeCell="R38" activeCellId="1" sqref="K44:L44 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SUM('0818 (입고)'!K44:L44)</f>
        <v>419862</v>
      </c>
      <c r="F10" s="42"/>
      <c r="G10" s="12">
        <f>SUM('0818 (입고)'!N44)</f>
        <v>1658.904508189147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03" t="s">
        <v>122</v>
      </c>
      <c r="L16" s="35">
        <v>28000</v>
      </c>
      <c r="M16" s="102"/>
      <c r="N16" s="91">
        <f>IF(L16="","",($G$10))</f>
        <v>1658.904508189147</v>
      </c>
      <c r="O16" s="92">
        <f>IF(L16="","",(SUM(M16)-N16))</f>
        <v>-1658.904508189147</v>
      </c>
      <c r="P16" s="93">
        <f>IF(L16="","",(L16*O16))</f>
        <v>-46449326.229296118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96</v>
      </c>
      <c r="L17" s="35">
        <v>59376</v>
      </c>
      <c r="M17" s="15"/>
      <c r="N17" s="94">
        <f t="shared" ref="N17:N22" si="3">IF(L17="","",($G$10))</f>
        <v>1658.904508189147</v>
      </c>
      <c r="O17" s="95">
        <f t="shared" ref="O17:O22" si="4">IF(L17="","",(SUM(M17)-N17))</f>
        <v>-1658.904508189147</v>
      </c>
      <c r="P17" s="96">
        <f t="shared" ref="P17:P22" si="5">IF(L17="","",(L17*O17))</f>
        <v>-98499114.0782388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87376</v>
      </c>
      <c r="M23" s="89"/>
      <c r="N23" s="89"/>
      <c r="O23" s="89"/>
      <c r="P23" s="90">
        <f>SUM(P16:P22)</f>
        <v>-144948440.30753493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332486</v>
      </c>
      <c r="D30" s="175"/>
      <c r="E30" s="176">
        <f>$G$10</f>
        <v>1658.904508189147</v>
      </c>
      <c r="F30" s="176"/>
      <c r="G30" s="175">
        <f>C30*E30</f>
        <v>551562524.30977678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332486</v>
      </c>
      <c r="D37" s="175"/>
      <c r="E37" s="175">
        <f>$G$30+$O$30-K37</f>
        <v>551562524.30977678</v>
      </c>
      <c r="F37" s="175"/>
      <c r="G37" s="176">
        <f>E37/C37</f>
        <v>1658.9045081891472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419862</v>
      </c>
      <c r="D44" s="168"/>
      <c r="E44" s="63"/>
      <c r="F44" s="169">
        <f>$K$30</f>
        <v>0</v>
      </c>
      <c r="G44" s="170"/>
      <c r="H44" s="170">
        <f>$L$23</f>
        <v>87376</v>
      </c>
      <c r="I44" s="170"/>
      <c r="J44" s="170"/>
      <c r="K44" s="171">
        <f>$C$44-$H$44+$F$44+$O$44</f>
        <v>332486</v>
      </c>
      <c r="L44" s="171"/>
      <c r="M44" s="64">
        <f>SUM($K$44)/D10</f>
        <v>0.44331466666666669</v>
      </c>
      <c r="N44" s="65">
        <f>$G$37</f>
        <v>1658.9045081891472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SUM('0818'!K44:L44)</f>
        <v>332486</v>
      </c>
      <c r="F10" s="42"/>
      <c r="G10" s="12">
        <f>SUM('0818'!N44)</f>
        <v>1658.9045081891472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332486</v>
      </c>
      <c r="D30" s="175"/>
      <c r="E30" s="176">
        <f>$G$10</f>
        <v>1658.9045081891472</v>
      </c>
      <c r="F30" s="176"/>
      <c r="G30" s="175">
        <f>C30*E30</f>
        <v>551562524.30977678</v>
      </c>
      <c r="H30" s="201"/>
      <c r="I30" s="16"/>
      <c r="J30" s="47" t="s">
        <v>11</v>
      </c>
      <c r="K30" s="208">
        <v>120869</v>
      </c>
      <c r="L30" s="209"/>
      <c r="M30" s="210">
        <v>1569.01133789148</v>
      </c>
      <c r="N30" s="211"/>
      <c r="O30" s="175">
        <f>K30*M30</f>
        <v>189644831.3996053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453355</v>
      </c>
      <c r="D37" s="175"/>
      <c r="E37" s="175">
        <f>$G$30+$O$30-K37</f>
        <v>741207355.70938206</v>
      </c>
      <c r="F37" s="175"/>
      <c r="G37" s="176">
        <f>E37/C37</f>
        <v>1634.9380854063197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332486</v>
      </c>
      <c r="D44" s="168"/>
      <c r="E44" s="63"/>
      <c r="F44" s="169">
        <f>$K$30</f>
        <v>120869</v>
      </c>
      <c r="G44" s="170"/>
      <c r="H44" s="170">
        <f>$L$23</f>
        <v>0</v>
      </c>
      <c r="I44" s="170"/>
      <c r="J44" s="170"/>
      <c r="K44" s="171">
        <f>$C$44-$H$44+$F$44+$O$44</f>
        <v>453355</v>
      </c>
      <c r="L44" s="171"/>
      <c r="M44" s="64">
        <f>SUM($K$44)/D10</f>
        <v>0.60447333333333331</v>
      </c>
      <c r="N44" s="65">
        <f>$G$37</f>
        <v>1634.9380854063197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B1:Y124"/>
  <sheetViews>
    <sheetView showGridLines="0" topLeftCell="A9" zoomScaleNormal="100" workbookViewId="0">
      <selection activeCell="V48" sqref="V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SUM('0819 (입고)'!K44:L44)</f>
        <v>453355</v>
      </c>
      <c r="F10" s="42"/>
      <c r="G10" s="12">
        <f>SUM('0819 (입고)'!N44)</f>
        <v>1634.9380854063197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83</v>
      </c>
      <c r="L16" s="35">
        <v>120869</v>
      </c>
      <c r="M16" s="102"/>
      <c r="N16" s="91">
        <f>IF(L16="","",($G$10))</f>
        <v>1634.9380854063197</v>
      </c>
      <c r="O16" s="92">
        <f>IF(L16="","",(SUM(M16)-N16))</f>
        <v>-1634.9380854063197</v>
      </c>
      <c r="P16" s="93">
        <f>IF(L16="","",(L16*O16))</f>
        <v>-197613331.44497645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120869</v>
      </c>
      <c r="M23" s="89"/>
      <c r="N23" s="89"/>
      <c r="O23" s="89"/>
      <c r="P23" s="90">
        <f>SUM(P16:P22)</f>
        <v>-197613331.44497645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332486</v>
      </c>
      <c r="D30" s="175"/>
      <c r="E30" s="176">
        <f>$G$10</f>
        <v>1634.9380854063197</v>
      </c>
      <c r="F30" s="176"/>
      <c r="G30" s="175">
        <f>C30*E30</f>
        <v>543594024.26440561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332486</v>
      </c>
      <c r="D37" s="175"/>
      <c r="E37" s="175">
        <f>$G$30+$O$30-K37</f>
        <v>543594024.26440561</v>
      </c>
      <c r="F37" s="175"/>
      <c r="G37" s="176">
        <f>E37/C37</f>
        <v>1634.9380854063197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453355</v>
      </c>
      <c r="D44" s="168"/>
      <c r="E44" s="63"/>
      <c r="F44" s="169">
        <f>$K$30</f>
        <v>0</v>
      </c>
      <c r="G44" s="170"/>
      <c r="H44" s="170">
        <f>$L$23</f>
        <v>120869</v>
      </c>
      <c r="I44" s="170"/>
      <c r="J44" s="170"/>
      <c r="K44" s="171">
        <f>$C$44-$H$44+$F$44+$O$44</f>
        <v>332486</v>
      </c>
      <c r="L44" s="171"/>
      <c r="M44" s="64">
        <f>SUM($K$44)/D10</f>
        <v>0.44331466666666669</v>
      </c>
      <c r="N44" s="65">
        <f>$G$37</f>
        <v>1634.9380854063197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SUM('0819'!K44:L44)</f>
        <v>332486</v>
      </c>
      <c r="F10" s="42"/>
      <c r="G10" s="12">
        <f>SUM('0819'!N44)</f>
        <v>1634.9380854063197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332486</v>
      </c>
      <c r="D30" s="175"/>
      <c r="E30" s="176">
        <f>$G$10</f>
        <v>1634.9380854063197</v>
      </c>
      <c r="F30" s="176"/>
      <c r="G30" s="175">
        <f>C30*E30</f>
        <v>543594024.26440561</v>
      </c>
      <c r="H30" s="201"/>
      <c r="I30" s="16"/>
      <c r="J30" s="47" t="s">
        <v>11</v>
      </c>
      <c r="K30" s="208">
        <v>27731</v>
      </c>
      <c r="L30" s="209"/>
      <c r="M30" s="210">
        <v>1569.01133789148</v>
      </c>
      <c r="N30" s="211"/>
      <c r="O30" s="175">
        <f>K30*M30</f>
        <v>43510253.411068633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360217</v>
      </c>
      <c r="D37" s="175"/>
      <c r="E37" s="175">
        <f>$G$30+$O$30-K37</f>
        <v>587104277.67547429</v>
      </c>
      <c r="F37" s="175"/>
      <c r="G37" s="176">
        <f>E37/C37</f>
        <v>1629.8627707061974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332486</v>
      </c>
      <c r="D44" s="168"/>
      <c r="E44" s="63"/>
      <c r="F44" s="169">
        <f>$K$30</f>
        <v>27731</v>
      </c>
      <c r="G44" s="170"/>
      <c r="H44" s="170">
        <f>$L$23</f>
        <v>0</v>
      </c>
      <c r="I44" s="170"/>
      <c r="J44" s="170"/>
      <c r="K44" s="171">
        <f>$C$44-$H$44+$F$44+$O$44</f>
        <v>360217</v>
      </c>
      <c r="L44" s="171"/>
      <c r="M44" s="64">
        <f>SUM($K$44)/D10</f>
        <v>0.48028933333333335</v>
      </c>
      <c r="N44" s="65">
        <f>$G$37</f>
        <v>1629.8627707061974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B1:Y124"/>
  <sheetViews>
    <sheetView showGridLines="0" topLeftCell="A13" zoomScaleNormal="100" workbookViewId="0">
      <selection activeCell="R38" activeCellId="1" sqref="K44:L44 R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SUM('0820 (입고)'!K44:L44)</f>
        <v>360217</v>
      </c>
      <c r="F10" s="42"/>
      <c r="G10" s="12">
        <f>SUM('0820 (입고)'!N44)</f>
        <v>1629.8627707061974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48</v>
      </c>
      <c r="L16" s="35">
        <v>32000</v>
      </c>
      <c r="M16" s="102"/>
      <c r="N16" s="91">
        <f>IF(L16="","",($G$10))</f>
        <v>1629.8627707061974</v>
      </c>
      <c r="O16" s="92">
        <f>IF(L16="","",(SUM(M16)-N16))</f>
        <v>-1629.8627707061974</v>
      </c>
      <c r="P16" s="93">
        <f>IF(L16="","",(L16*O16))</f>
        <v>-52155608.662598312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127</v>
      </c>
      <c r="L17" s="35">
        <v>27731</v>
      </c>
      <c r="M17" s="15"/>
      <c r="N17" s="94">
        <f t="shared" ref="N17:N22" si="3">IF(L17="","",($G$10))</f>
        <v>1629.8627707061974</v>
      </c>
      <c r="O17" s="95">
        <f t="shared" ref="O17:O22" si="4">IF(L17="","",(SUM(M17)-N17))</f>
        <v>-1629.8627707061974</v>
      </c>
      <c r="P17" s="96">
        <f t="shared" ref="P17:P22" si="5">IF(L17="","",(L17*O17))</f>
        <v>-45197724.494453557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59731</v>
      </c>
      <c r="M23" s="89"/>
      <c r="N23" s="89"/>
      <c r="O23" s="89"/>
      <c r="P23" s="90">
        <f>SUM(P16:P22)</f>
        <v>-97353333.157051861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300486</v>
      </c>
      <c r="D30" s="175"/>
      <c r="E30" s="176">
        <f>$G$10</f>
        <v>1629.8627707061974</v>
      </c>
      <c r="F30" s="176"/>
      <c r="G30" s="175">
        <f>C30*E30</f>
        <v>489750944.51842242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300486</v>
      </c>
      <c r="D37" s="175"/>
      <c r="E37" s="175">
        <f>$G$30+$O$30-K37</f>
        <v>489750944.51842242</v>
      </c>
      <c r="F37" s="175"/>
      <c r="G37" s="176">
        <f>E37/C37</f>
        <v>1629.8627707061974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360217</v>
      </c>
      <c r="D44" s="168"/>
      <c r="E44" s="63"/>
      <c r="F44" s="169">
        <f>$K$30</f>
        <v>0</v>
      </c>
      <c r="G44" s="170"/>
      <c r="H44" s="170">
        <f>$L$23</f>
        <v>59731</v>
      </c>
      <c r="I44" s="170"/>
      <c r="J44" s="170"/>
      <c r="K44" s="171">
        <f>$C$44-$H$44+$F$44+$O$44</f>
        <v>300486</v>
      </c>
      <c r="L44" s="171"/>
      <c r="M44" s="64">
        <f>SUM($K$44)/D10</f>
        <v>0.400648</v>
      </c>
      <c r="N44" s="65">
        <f>$G$37</f>
        <v>1629.8627707061974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B1:Y124"/>
  <sheetViews>
    <sheetView showGridLines="0" topLeftCell="A4" zoomScaleNormal="100" workbookViewId="0">
      <selection activeCell="R44" sqref="R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SUM('0820'!K44:L44)</f>
        <v>300486</v>
      </c>
      <c r="F10" s="42"/>
      <c r="G10" s="12">
        <f>SUM('0820'!N44)</f>
        <v>1629.8627707061974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48</v>
      </c>
      <c r="L16" s="35">
        <v>12000</v>
      </c>
      <c r="M16" s="102"/>
      <c r="N16" s="91">
        <f>IF(L16="","",($G$10))</f>
        <v>1629.8627707061974</v>
      </c>
      <c r="O16" s="92">
        <f>IF(L16="","",(SUM(M16)-N16))</f>
        <v>-1629.8627707061974</v>
      </c>
      <c r="P16" s="93">
        <f>IF(L16="","",(L16*O16))</f>
        <v>-19558353.248474367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99</v>
      </c>
      <c r="L17" s="35">
        <v>12000</v>
      </c>
      <c r="M17" s="15"/>
      <c r="N17" s="94">
        <f t="shared" ref="N17:N22" si="3">IF(L17="","",($G$10))</f>
        <v>1629.8627707061974</v>
      </c>
      <c r="O17" s="95">
        <f t="shared" ref="O17:O22" si="4">IF(L17="","",(SUM(M17)-N17))</f>
        <v>-1629.8627707061974</v>
      </c>
      <c r="P17" s="96">
        <f t="shared" ref="P17:P22" si="5">IF(L17="","",(L17*O17))</f>
        <v>-19558353.248474367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 t="s">
        <v>64</v>
      </c>
      <c r="L18" s="35">
        <v>8000</v>
      </c>
      <c r="M18" s="15"/>
      <c r="N18" s="94">
        <f t="shared" si="3"/>
        <v>1629.8627707061974</v>
      </c>
      <c r="O18" s="95">
        <f t="shared" si="4"/>
        <v>-1629.8627707061974</v>
      </c>
      <c r="P18" s="96">
        <f t="shared" si="5"/>
        <v>-13038902.165649578</v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 t="s">
        <v>63</v>
      </c>
      <c r="L19" s="35">
        <v>32000</v>
      </c>
      <c r="M19" s="15"/>
      <c r="N19" s="94">
        <f t="shared" si="3"/>
        <v>1629.8627707061974</v>
      </c>
      <c r="O19" s="95">
        <f t="shared" si="4"/>
        <v>-1629.8627707061974</v>
      </c>
      <c r="P19" s="96">
        <f t="shared" si="5"/>
        <v>-52155608.662598312</v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64000</v>
      </c>
      <c r="M23" s="89"/>
      <c r="N23" s="89"/>
      <c r="O23" s="89"/>
      <c r="P23" s="90">
        <f>SUM(P16:P22)</f>
        <v>-104311217.32519662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236486</v>
      </c>
      <c r="D30" s="175"/>
      <c r="E30" s="176">
        <f>$G$10</f>
        <v>1629.8627707061974</v>
      </c>
      <c r="F30" s="176"/>
      <c r="G30" s="175">
        <f>C30*E30</f>
        <v>385439727.1932258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236486</v>
      </c>
      <c r="D37" s="175"/>
      <c r="E37" s="175">
        <f>$G$30+$O$30-K37</f>
        <v>385439727.1932258</v>
      </c>
      <c r="F37" s="175"/>
      <c r="G37" s="176">
        <f>E37/C37</f>
        <v>1629.8627707061974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300486</v>
      </c>
      <c r="D44" s="168"/>
      <c r="E44" s="63"/>
      <c r="F44" s="169">
        <f>$K$30</f>
        <v>0</v>
      </c>
      <c r="G44" s="170"/>
      <c r="H44" s="170">
        <f>$L$23</f>
        <v>64000</v>
      </c>
      <c r="I44" s="170"/>
      <c r="J44" s="170"/>
      <c r="K44" s="171">
        <f>$C$44-$H$44+$F$44+$O$44</f>
        <v>236486</v>
      </c>
      <c r="L44" s="171"/>
      <c r="M44" s="64">
        <f>SUM($K$44)/D10</f>
        <v>0.31531466666666669</v>
      </c>
      <c r="N44" s="65">
        <f>$G$37</f>
        <v>1629.8627707061974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B1:Y124"/>
  <sheetViews>
    <sheetView showGridLines="0" topLeftCell="A15" zoomScaleNormal="100" workbookViewId="0">
      <selection activeCell="K30" sqref="K30:L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SUM('0821'!K44:L44)</f>
        <v>236486</v>
      </c>
      <c r="F10" s="42"/>
      <c r="G10" s="12">
        <f>SUM('0821'!N44)</f>
        <v>1629.8627707061974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73</v>
      </c>
      <c r="L16" s="35">
        <v>16000</v>
      </c>
      <c r="M16" s="102"/>
      <c r="N16" s="91">
        <f>IF(L16="","",($G$10))</f>
        <v>1629.8627707061974</v>
      </c>
      <c r="O16" s="92">
        <f>IF(L16="","",(SUM(M16)-N16))</f>
        <v>-1629.8627707061974</v>
      </c>
      <c r="P16" s="93">
        <f>IF(L16="","",(L16*O16))</f>
        <v>-26077804.331299156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 t="s">
        <v>66</v>
      </c>
      <c r="L17" s="35">
        <v>12000</v>
      </c>
      <c r="M17" s="15"/>
      <c r="N17" s="94">
        <f t="shared" ref="N17:N22" si="3">IF(L17="","",($G$10))</f>
        <v>1629.8627707061974</v>
      </c>
      <c r="O17" s="95">
        <f t="shared" ref="O17:O22" si="4">IF(L17="","",(SUM(M17)-N17))</f>
        <v>-1629.8627707061974</v>
      </c>
      <c r="P17" s="96">
        <f t="shared" ref="P17:P22" si="5">IF(L17="","",(L17*O17))</f>
        <v>-19558353.248474367</v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28000</v>
      </c>
      <c r="M23" s="89"/>
      <c r="N23" s="89"/>
      <c r="O23" s="89"/>
      <c r="P23" s="90">
        <f>SUM(P16:P22)</f>
        <v>-45636157.579773523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208486</v>
      </c>
      <c r="D30" s="175"/>
      <c r="E30" s="176">
        <f>$G$10</f>
        <v>1629.8627707061974</v>
      </c>
      <c r="F30" s="176"/>
      <c r="G30" s="175">
        <f>C30*E30</f>
        <v>339803569.61345226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208486</v>
      </c>
      <c r="D37" s="175"/>
      <c r="E37" s="175">
        <f>$G$30+$O$30-K37</f>
        <v>339803569.61345226</v>
      </c>
      <c r="F37" s="175"/>
      <c r="G37" s="176">
        <f>E37/C37</f>
        <v>1629.8627707061974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236486</v>
      </c>
      <c r="D44" s="168"/>
      <c r="E44" s="63"/>
      <c r="F44" s="169">
        <f>$K$30</f>
        <v>0</v>
      </c>
      <c r="G44" s="170"/>
      <c r="H44" s="170">
        <f>$L$23</f>
        <v>28000</v>
      </c>
      <c r="I44" s="170"/>
      <c r="J44" s="170"/>
      <c r="K44" s="171">
        <f>$C$44-$H$44+$F$44+$O$44</f>
        <v>208486</v>
      </c>
      <c r="L44" s="171"/>
      <c r="M44" s="64">
        <f>SUM($K$44)/D10</f>
        <v>0.27798133333333336</v>
      </c>
      <c r="N44" s="65">
        <f>$G$37</f>
        <v>1629.8627707061974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FFFF00"/>
    <pageSetUpPr fitToPage="1"/>
  </sheetPr>
  <dimension ref="B1:Y124"/>
  <sheetViews>
    <sheetView showGridLines="0" topLeftCell="A27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SUM('0822'!K44:L44)</f>
        <v>208486</v>
      </c>
      <c r="F10" s="42"/>
      <c r="G10" s="12">
        <f>SUM('0822'!N44)</f>
        <v>1629.8627707061974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208486</v>
      </c>
      <c r="D30" s="175"/>
      <c r="E30" s="176">
        <f>$G$10</f>
        <v>1629.8627707061974</v>
      </c>
      <c r="F30" s="176"/>
      <c r="G30" s="175">
        <f>C30*E30</f>
        <v>339803569.61345226</v>
      </c>
      <c r="H30" s="201"/>
      <c r="I30" s="16"/>
      <c r="J30" s="47" t="s">
        <v>11</v>
      </c>
      <c r="K30" s="208">
        <v>27731</v>
      </c>
      <c r="L30" s="209"/>
      <c r="M30" s="210">
        <v>1569.01133789148</v>
      </c>
      <c r="N30" s="211"/>
      <c r="O30" s="175">
        <f>K30*M30</f>
        <v>43510253.411068633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236217</v>
      </c>
      <c r="D37" s="175"/>
      <c r="E37" s="175">
        <f>$G$30+$O$30-K37</f>
        <v>383313823.02452087</v>
      </c>
      <c r="F37" s="175"/>
      <c r="G37" s="176">
        <f>E37/C37</f>
        <v>1622.7190381069986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208486</v>
      </c>
      <c r="D44" s="168"/>
      <c r="E44" s="63"/>
      <c r="F44" s="169">
        <f>$K$30</f>
        <v>27731</v>
      </c>
      <c r="G44" s="170"/>
      <c r="H44" s="170">
        <f>$L$23</f>
        <v>0</v>
      </c>
      <c r="I44" s="170"/>
      <c r="J44" s="170"/>
      <c r="K44" s="171">
        <f>$C$44-$H$44+$F$44+$O$44</f>
        <v>236217</v>
      </c>
      <c r="L44" s="171"/>
      <c r="M44" s="64">
        <f>SUM($K$44)/D10</f>
        <v>0.31495600000000001</v>
      </c>
      <c r="N44" s="65">
        <f>$G$37</f>
        <v>1622.7190381069986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B1:Y124"/>
  <sheetViews>
    <sheetView showGridLines="0" topLeftCell="A11" zoomScaleNormal="100" workbookViewId="0">
      <selection activeCell="U31" sqref="U3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SUM('0824 (입고)'!K44:L44)</f>
        <v>236217</v>
      </c>
      <c r="F10" s="42"/>
      <c r="G10" s="12">
        <f>SUM('0824 (입고)'!N44)</f>
        <v>1622.7190381069986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128</v>
      </c>
      <c r="L16" s="35">
        <v>27731</v>
      </c>
      <c r="M16" s="102"/>
      <c r="N16" s="91">
        <f>IF(L16="","",($G$10))</f>
        <v>1622.7190381069986</v>
      </c>
      <c r="O16" s="92">
        <f>IF(L16="","",(SUM(M16)-N16))</f>
        <v>-1622.7190381069986</v>
      </c>
      <c r="P16" s="93">
        <f>IF(L16="","",(L16*O16))</f>
        <v>-44999621.645745181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27731</v>
      </c>
      <c r="M23" s="89"/>
      <c r="N23" s="89"/>
      <c r="O23" s="89"/>
      <c r="P23" s="90">
        <f>SUM(P16:P22)</f>
        <v>-44999621.645745181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208486</v>
      </c>
      <c r="D30" s="175"/>
      <c r="E30" s="176">
        <f>$G$10</f>
        <v>1622.7190381069986</v>
      </c>
      <c r="F30" s="176"/>
      <c r="G30" s="175">
        <f>C30*E30</f>
        <v>338314201.37877572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208486</v>
      </c>
      <c r="D37" s="175"/>
      <c r="E37" s="175">
        <f>$G$30+$O$30-K37</f>
        <v>338314201.37877572</v>
      </c>
      <c r="F37" s="175"/>
      <c r="G37" s="176">
        <f>E37/C37</f>
        <v>1622.7190381069986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</f>
        <v>56000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54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236217</v>
      </c>
      <c r="D44" s="168"/>
      <c r="E44" s="63"/>
      <c r="F44" s="169">
        <f>$K$30</f>
        <v>0</v>
      </c>
      <c r="G44" s="170"/>
      <c r="H44" s="170">
        <f>$L$23</f>
        <v>27731</v>
      </c>
      <c r="I44" s="170"/>
      <c r="J44" s="170"/>
      <c r="K44" s="171">
        <f>$C$44-$H$44+$F$44+$O$44</f>
        <v>208486</v>
      </c>
      <c r="L44" s="171"/>
      <c r="M44" s="64">
        <f>SUM($K$44)/D10</f>
        <v>0.27798133333333336</v>
      </c>
      <c r="N44" s="65">
        <f>$G$37</f>
        <v>1622.7190381069986</v>
      </c>
      <c r="O44" s="101"/>
      <c r="P44" s="22"/>
      <c r="Q44" s="136"/>
      <c r="R44" s="132"/>
      <c r="S44" s="122"/>
      <c r="T44" s="131"/>
      <c r="U44" s="129"/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M48" s="122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B1:Y124"/>
  <sheetViews>
    <sheetView showGridLines="0" topLeftCell="A21" zoomScaleNormal="100" workbookViewId="0">
      <selection activeCell="M48" sqref="M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SUM('0824'!K44:L44)</f>
        <v>208486</v>
      </c>
      <c r="F10" s="42"/>
      <c r="G10" s="12">
        <f>SUM('0824'!N44)</f>
        <v>1622.7190381069986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208486</v>
      </c>
      <c r="D30" s="175"/>
      <c r="E30" s="176">
        <f>$G$10</f>
        <v>1622.7190381069986</v>
      </c>
      <c r="F30" s="176"/>
      <c r="G30" s="175">
        <f>C30*E30</f>
        <v>338314201.37877572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208486</v>
      </c>
      <c r="D37" s="175"/>
      <c r="E37" s="175">
        <f>$G$30+$O$30-K37</f>
        <v>338314201.37877572</v>
      </c>
      <c r="F37" s="175"/>
      <c r="G37" s="176">
        <f>E37/C37</f>
        <v>1622.7190381069986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140000-28000-28000-28000-28000</f>
        <v>28000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 t="s">
        <v>46</v>
      </c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208486</v>
      </c>
      <c r="D44" s="168"/>
      <c r="E44" s="63"/>
      <c r="F44" s="169">
        <f>$K$30</f>
        <v>0</v>
      </c>
      <c r="G44" s="170"/>
      <c r="H44" s="170">
        <f>$L$23</f>
        <v>0</v>
      </c>
      <c r="I44" s="170"/>
      <c r="J44" s="170"/>
      <c r="K44" s="171">
        <f>$C$44-$H$44+$F$44+$O$44</f>
        <v>208486</v>
      </c>
      <c r="L44" s="171"/>
      <c r="M44" s="64">
        <f>SUM($K$44)/D10</f>
        <v>0.27798133333333336</v>
      </c>
      <c r="N44" s="65">
        <f>$G$37</f>
        <v>1622.7190381069986</v>
      </c>
      <c r="O44" s="101"/>
      <c r="P44" s="22"/>
      <c r="Q44" s="136"/>
      <c r="R44" s="136">
        <v>46260</v>
      </c>
      <c r="S44" s="132" t="s">
        <v>45</v>
      </c>
      <c r="T44" s="122">
        <v>28000</v>
      </c>
      <c r="U44" s="131" t="s">
        <v>58</v>
      </c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2"/>
      <c r="S45" s="122"/>
      <c r="T45" s="131"/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B1:Y124"/>
  <sheetViews>
    <sheetView showGridLines="0" topLeftCell="A12" zoomScaleNormal="100" workbookViewId="0">
      <selection activeCell="K44" sqref="K44:L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SUM('0826'!K44:L44)</f>
        <v>208486</v>
      </c>
      <c r="F10" s="42"/>
      <c r="G10" s="12">
        <f>SUM('0826'!N44)</f>
        <v>1622.7190381069986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64</v>
      </c>
      <c r="L16" s="35">
        <v>8000</v>
      </c>
      <c r="M16" s="102"/>
      <c r="N16" s="91">
        <f>IF(L16="","",($G$10))</f>
        <v>1622.7190381069986</v>
      </c>
      <c r="O16" s="92">
        <f>IF(L16="","",(SUM(M16)-N16))</f>
        <v>-1622.7190381069986</v>
      </c>
      <c r="P16" s="93">
        <f>IF(L16="","",(L16*O16))</f>
        <v>-12981752.304855989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-12981752.304855989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200486</v>
      </c>
      <c r="D30" s="175"/>
      <c r="E30" s="176">
        <f>$G$10</f>
        <v>1622.7190381069986</v>
      </c>
      <c r="F30" s="176"/>
      <c r="G30" s="175">
        <f>C30*E30</f>
        <v>325332449.07391971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200486</v>
      </c>
      <c r="D37" s="175"/>
      <c r="E37" s="175">
        <f>$G$30+$O$30-K37</f>
        <v>325332449.07391971</v>
      </c>
      <c r="F37" s="175"/>
      <c r="G37" s="176">
        <f>E37/C37</f>
        <v>1622.7190381069986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140000-28000-28000-28000-28000-28000</f>
        <v>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208486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200486</v>
      </c>
      <c r="L44" s="171"/>
      <c r="M44" s="64">
        <f>SUM($K$44)/D10</f>
        <v>0.26731466666666664</v>
      </c>
      <c r="N44" s="65">
        <f>$G$37</f>
        <v>1622.7190381069986</v>
      </c>
      <c r="O44" s="101"/>
      <c r="P44" s="22"/>
      <c r="Q44" s="136"/>
      <c r="R44" s="136">
        <v>46260</v>
      </c>
      <c r="S44" s="132" t="s">
        <v>45</v>
      </c>
      <c r="T44" s="122">
        <v>28000</v>
      </c>
      <c r="U44" s="131" t="s">
        <v>58</v>
      </c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6">
        <v>46262</v>
      </c>
      <c r="S45" s="132" t="s">
        <v>45</v>
      </c>
      <c r="T45" s="122">
        <v>28000</v>
      </c>
      <c r="U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FFFF00"/>
    <pageSetUpPr fitToPage="1"/>
  </sheetPr>
  <dimension ref="B1:Y124"/>
  <sheetViews>
    <sheetView showGridLines="0" topLeftCell="A25" zoomScaleNormal="100" workbookViewId="0">
      <selection activeCell="T13" sqref="T1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SUM('0828'!K44:L44)</f>
        <v>200486</v>
      </c>
      <c r="F10" s="42"/>
      <c r="G10" s="12">
        <f>SUM('0828'!N44)</f>
        <v>1622.7190381069986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/>
      <c r="L16" s="35"/>
      <c r="M16" s="102"/>
      <c r="N16" s="91" t="str">
        <f>IF(L16="","",($G$10))</f>
        <v/>
      </c>
      <c r="O16" s="92" t="str">
        <f>IF(L16="","",(SUM(M16)-N16))</f>
        <v/>
      </c>
      <c r="P16" s="93" t="str">
        <f>IF(L16="","",(L16*O16))</f>
        <v/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0</v>
      </c>
      <c r="M23" s="89"/>
      <c r="N23" s="89"/>
      <c r="O23" s="89"/>
      <c r="P23" s="90">
        <f>SUM(P16:P22)</f>
        <v>0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200486</v>
      </c>
      <c r="D30" s="175"/>
      <c r="E30" s="176">
        <f>$G$10</f>
        <v>1622.7190381069986</v>
      </c>
      <c r="F30" s="176"/>
      <c r="G30" s="175">
        <f>C30*E30</f>
        <v>325332449.07391971</v>
      </c>
      <c r="H30" s="201"/>
      <c r="I30" s="16"/>
      <c r="J30" s="47" t="s">
        <v>11</v>
      </c>
      <c r="K30" s="208">
        <v>15843</v>
      </c>
      <c r="L30" s="209"/>
      <c r="M30" s="210">
        <v>1569.01133789148</v>
      </c>
      <c r="N30" s="211"/>
      <c r="O30" s="175">
        <f>K30*M30</f>
        <v>24857846.626214717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216329</v>
      </c>
      <c r="D37" s="175"/>
      <c r="E37" s="175">
        <f>$G$30+$O$30-K37</f>
        <v>350190295.70013446</v>
      </c>
      <c r="F37" s="175"/>
      <c r="G37" s="176">
        <f>E37/C37</f>
        <v>1618.7857185127027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140000-28000-28000-28000-28000-28000</f>
        <v>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200486</v>
      </c>
      <c r="D44" s="168"/>
      <c r="E44" s="63"/>
      <c r="F44" s="169">
        <f>$K$30</f>
        <v>15843</v>
      </c>
      <c r="G44" s="170"/>
      <c r="H44" s="170">
        <f>$L$23</f>
        <v>0</v>
      </c>
      <c r="I44" s="170"/>
      <c r="J44" s="170"/>
      <c r="K44" s="171">
        <f>$C$44-$H$44+$F$44+$O$44</f>
        <v>216329</v>
      </c>
      <c r="L44" s="171"/>
      <c r="M44" s="64">
        <f>SUM($K$44)/D10</f>
        <v>0.28843866666666668</v>
      </c>
      <c r="N44" s="65">
        <f>$G$37</f>
        <v>1618.7857185127027</v>
      </c>
      <c r="O44" s="101"/>
      <c r="P44" s="22"/>
      <c r="Q44" s="136"/>
      <c r="R44" s="136">
        <v>46260</v>
      </c>
      <c r="S44" s="132" t="s">
        <v>45</v>
      </c>
      <c r="T44" s="122">
        <v>28000</v>
      </c>
      <c r="U44" s="131" t="s">
        <v>58</v>
      </c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6">
        <v>46262</v>
      </c>
      <c r="S45" s="132" t="s">
        <v>45</v>
      </c>
      <c r="T45" s="122">
        <v>28000</v>
      </c>
      <c r="U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B1:Y124"/>
  <sheetViews>
    <sheetView showGridLines="0" tabSelected="1" topLeftCell="A21" zoomScaleNormal="100" workbookViewId="0">
      <selection activeCell="K30" sqref="K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7" width="7.77734375" style="2" customWidth="1"/>
    <col min="8" max="8" width="8.88671875" style="2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0.6640625" style="2" bestFit="1" customWidth="1"/>
    <col min="17" max="17" width="9.6640625" style="2" bestFit="1" customWidth="1"/>
    <col min="18" max="21" width="8.88671875" style="2"/>
    <col min="22" max="22" width="9.21875" style="2" bestFit="1" customWidth="1"/>
    <col min="23" max="16384" width="8.88671875" style="2"/>
  </cols>
  <sheetData>
    <row r="1" spans="2:16" ht="26.2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</row>
    <row r="4" spans="2:16" ht="25.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16" ht="22.5" customHeight="1">
      <c r="B5" s="247" t="s">
        <v>1</v>
      </c>
      <c r="C5" s="247"/>
      <c r="D5" s="4"/>
      <c r="E5" s="4"/>
      <c r="F5" s="4"/>
      <c r="G5" s="5" t="s">
        <v>2</v>
      </c>
      <c r="H5" s="248"/>
      <c r="I5" s="248"/>
      <c r="J5" s="248"/>
      <c r="K5" s="248"/>
      <c r="L5" s="24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249" t="s">
        <v>3</v>
      </c>
      <c r="C7" s="31"/>
      <c r="D7" s="36" t="s">
        <v>4</v>
      </c>
      <c r="E7" s="37" t="s">
        <v>5</v>
      </c>
      <c r="F7" s="37" t="s">
        <v>6</v>
      </c>
      <c r="G7" s="38" t="s">
        <v>7</v>
      </c>
      <c r="H7" s="252"/>
      <c r="I7" s="114"/>
      <c r="J7" s="114"/>
      <c r="K7" s="114"/>
      <c r="L7" s="114"/>
      <c r="M7" s="114"/>
      <c r="N7" s="114"/>
      <c r="O7" s="114"/>
    </row>
    <row r="8" spans="2:16" ht="22.5" customHeight="1">
      <c r="B8" s="250"/>
      <c r="C8" s="32" t="s">
        <v>8</v>
      </c>
      <c r="D8" s="111">
        <v>0</v>
      </c>
      <c r="E8" s="110">
        <v>0</v>
      </c>
      <c r="F8" s="110">
        <v>0</v>
      </c>
      <c r="G8" s="39">
        <v>0</v>
      </c>
      <c r="H8" s="252"/>
      <c r="I8" s="114"/>
      <c r="J8" s="108"/>
      <c r="K8" s="8"/>
      <c r="L8" s="9"/>
      <c r="M8" s="9"/>
      <c r="N8" s="9"/>
      <c r="O8" s="9"/>
    </row>
    <row r="9" spans="2:16" ht="22.5" customHeight="1">
      <c r="B9" s="250"/>
      <c r="C9" s="33" t="s">
        <v>9</v>
      </c>
      <c r="D9" s="109">
        <v>0</v>
      </c>
      <c r="E9" s="7" t="e">
        <f>SUM(#REF!)</f>
        <v>#REF!</v>
      </c>
      <c r="F9" s="40"/>
      <c r="G9" s="107" t="e">
        <f>SUM(#REF!)</f>
        <v>#REF!</v>
      </c>
      <c r="H9" s="252"/>
      <c r="I9" s="114"/>
      <c r="J9" s="108"/>
      <c r="K9" s="9"/>
      <c r="L9" s="9" t="s">
        <v>10</v>
      </c>
      <c r="M9" s="10"/>
      <c r="N9" s="9"/>
      <c r="O9" s="9"/>
    </row>
    <row r="10" spans="2:16" ht="22.5" customHeight="1">
      <c r="B10" s="251"/>
      <c r="C10" s="34" t="s">
        <v>11</v>
      </c>
      <c r="D10" s="41">
        <v>750000</v>
      </c>
      <c r="E10" s="11">
        <f>SUM('0831 (입고)'!K44:L44)</f>
        <v>216329</v>
      </c>
      <c r="F10" s="42"/>
      <c r="G10" s="12">
        <f>SUM('0831 (입고)'!N44)</f>
        <v>1618.7857185127027</v>
      </c>
      <c r="H10" s="252"/>
      <c r="I10" s="114"/>
      <c r="J10" s="108"/>
      <c r="K10" s="9"/>
      <c r="L10" s="9"/>
      <c r="M10" s="10"/>
      <c r="N10" s="106"/>
      <c r="O10" s="9"/>
    </row>
    <row r="11" spans="2:16" ht="22.5" customHeight="1">
      <c r="B11" s="113"/>
      <c r="C11" s="6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2:16" ht="22.5" customHeight="1"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</row>
    <row r="13" spans="2:16" s="4" customFormat="1" ht="26.25" customHeight="1">
      <c r="B13" s="229" t="s">
        <v>12</v>
      </c>
      <c r="C13" s="230"/>
      <c r="D13" s="13"/>
      <c r="E13" s="13"/>
      <c r="F13" s="13"/>
      <c r="G13" s="228" t="s">
        <v>2</v>
      </c>
      <c r="H13" s="228"/>
      <c r="I13" s="13"/>
      <c r="J13" s="231" t="s">
        <v>13</v>
      </c>
      <c r="K13" s="232"/>
      <c r="L13" s="13"/>
      <c r="M13" s="13"/>
      <c r="N13" s="13"/>
      <c r="O13" s="228" t="s">
        <v>2</v>
      </c>
      <c r="P13" s="228"/>
    </row>
    <row r="14" spans="2:16" s="4" customFormat="1" ht="24" customHeight="1">
      <c r="B14" s="233" t="s">
        <v>3</v>
      </c>
      <c r="C14" s="235" t="s">
        <v>14</v>
      </c>
      <c r="D14" s="236"/>
      <c r="E14" s="236"/>
      <c r="F14" s="236"/>
      <c r="G14" s="236"/>
      <c r="H14" s="237"/>
      <c r="I14" s="14"/>
      <c r="J14" s="238" t="s">
        <v>3</v>
      </c>
      <c r="K14" s="240" t="s">
        <v>14</v>
      </c>
      <c r="L14" s="241"/>
      <c r="M14" s="241"/>
      <c r="N14" s="241"/>
      <c r="O14" s="241"/>
      <c r="P14" s="242"/>
    </row>
    <row r="15" spans="2:16" s="4" customFormat="1" ht="24" customHeight="1">
      <c r="B15" s="234"/>
      <c r="C15" s="66" t="s">
        <v>15</v>
      </c>
      <c r="D15" s="67" t="s">
        <v>16</v>
      </c>
      <c r="E15" s="67" t="s">
        <v>17</v>
      </c>
      <c r="F15" s="67" t="s">
        <v>18</v>
      </c>
      <c r="G15" s="67" t="s">
        <v>19</v>
      </c>
      <c r="H15" s="68" t="s">
        <v>20</v>
      </c>
      <c r="I15" s="14"/>
      <c r="J15" s="239"/>
      <c r="K15" s="83" t="s">
        <v>15</v>
      </c>
      <c r="L15" s="84" t="s">
        <v>16</v>
      </c>
      <c r="M15" s="84" t="s">
        <v>17</v>
      </c>
      <c r="N15" s="84" t="s">
        <v>18</v>
      </c>
      <c r="O15" s="84" t="s">
        <v>19</v>
      </c>
      <c r="P15" s="85" t="s">
        <v>20</v>
      </c>
    </row>
    <row r="16" spans="2:16" ht="24" customHeight="1">
      <c r="B16" s="243" t="s">
        <v>21</v>
      </c>
      <c r="C16" s="103"/>
      <c r="D16" s="35"/>
      <c r="E16" s="35"/>
      <c r="F16" s="74" t="str">
        <f>IF(D16="","",(SUM($G$9)))</f>
        <v/>
      </c>
      <c r="G16" s="75" t="str">
        <f>IF(D16="","",(SUM(E16)-F16))</f>
        <v/>
      </c>
      <c r="H16" s="76" t="str">
        <f>IF(D16="","",(D16*G16))</f>
        <v/>
      </c>
      <c r="I16" s="16"/>
      <c r="J16" s="244" t="s">
        <v>23</v>
      </c>
      <c r="K16" s="149" t="s">
        <v>64</v>
      </c>
      <c r="L16" s="35">
        <v>8000</v>
      </c>
      <c r="M16" s="102"/>
      <c r="N16" s="91">
        <f>IF(L16="","",($G$10))</f>
        <v>1618.7857185127027</v>
      </c>
      <c r="O16" s="92">
        <f>IF(L16="","",(SUM(M16)-N16))</f>
        <v>-1618.7857185127027</v>
      </c>
      <c r="P16" s="93">
        <f>IF(L16="","",(L16*O16))</f>
        <v>-12950285.748101622</v>
      </c>
    </row>
    <row r="17" spans="2:16" ht="24" customHeight="1">
      <c r="B17" s="243"/>
      <c r="C17" s="104"/>
      <c r="D17" s="15"/>
      <c r="E17" s="15"/>
      <c r="F17" s="77" t="str">
        <f t="shared" ref="F17:F22" si="0">IF(D17="","",(SUM($G$9)))</f>
        <v/>
      </c>
      <c r="G17" s="78" t="str">
        <f t="shared" ref="G17:G22" si="1">IF(D17="","",(SUM(E17)-F17))</f>
        <v/>
      </c>
      <c r="H17" s="79" t="str">
        <f t="shared" ref="H17:H22" si="2">IF(D17="","",(D17*G17))</f>
        <v/>
      </c>
      <c r="I17" s="16"/>
      <c r="J17" s="244"/>
      <c r="K17" s="150"/>
      <c r="L17" s="35"/>
      <c r="M17" s="15"/>
      <c r="N17" s="94" t="str">
        <f t="shared" ref="N17:N22" si="3">IF(L17="","",($G$10))</f>
        <v/>
      </c>
      <c r="O17" s="95" t="str">
        <f t="shared" ref="O17:O22" si="4">IF(L17="","",(SUM(M17)-N17))</f>
        <v/>
      </c>
      <c r="P17" s="96" t="str">
        <f t="shared" ref="P17:P22" si="5">IF(L17="","",(L17*O17))</f>
        <v/>
      </c>
    </row>
    <row r="18" spans="2:16" ht="24" customHeight="1">
      <c r="B18" s="243"/>
      <c r="C18" s="104"/>
      <c r="D18" s="15"/>
      <c r="E18" s="15"/>
      <c r="F18" s="77" t="str">
        <f t="shared" si="0"/>
        <v/>
      </c>
      <c r="G18" s="78" t="str">
        <f t="shared" si="1"/>
        <v/>
      </c>
      <c r="H18" s="79" t="str">
        <f t="shared" si="2"/>
        <v/>
      </c>
      <c r="I18" s="16"/>
      <c r="J18" s="244"/>
      <c r="K18" s="150"/>
      <c r="L18" s="35"/>
      <c r="M18" s="15"/>
      <c r="N18" s="94" t="str">
        <f t="shared" si="3"/>
        <v/>
      </c>
      <c r="O18" s="95" t="str">
        <f t="shared" si="4"/>
        <v/>
      </c>
      <c r="P18" s="96" t="str">
        <f t="shared" si="5"/>
        <v/>
      </c>
    </row>
    <row r="19" spans="2:16" ht="24" customHeight="1">
      <c r="B19" s="243"/>
      <c r="C19" s="104"/>
      <c r="D19" s="15"/>
      <c r="E19" s="15"/>
      <c r="F19" s="77" t="str">
        <f t="shared" si="0"/>
        <v/>
      </c>
      <c r="G19" s="78" t="str">
        <f t="shared" si="1"/>
        <v/>
      </c>
      <c r="H19" s="79" t="str">
        <f t="shared" si="2"/>
        <v/>
      </c>
      <c r="I19" s="16"/>
      <c r="J19" s="244"/>
      <c r="K19" s="104"/>
      <c r="L19" s="35"/>
      <c r="M19" s="15"/>
      <c r="N19" s="94" t="str">
        <f t="shared" si="3"/>
        <v/>
      </c>
      <c r="O19" s="95" t="str">
        <f t="shared" si="4"/>
        <v/>
      </c>
      <c r="P19" s="96" t="str">
        <f t="shared" si="5"/>
        <v/>
      </c>
    </row>
    <row r="20" spans="2:16" ht="24" customHeight="1">
      <c r="B20" s="243"/>
      <c r="C20" s="104"/>
      <c r="D20" s="15"/>
      <c r="E20" s="15"/>
      <c r="F20" s="77" t="str">
        <f t="shared" si="0"/>
        <v/>
      </c>
      <c r="G20" s="78" t="str">
        <f t="shared" si="1"/>
        <v/>
      </c>
      <c r="H20" s="79" t="str">
        <f t="shared" si="2"/>
        <v/>
      </c>
      <c r="I20" s="16"/>
      <c r="J20" s="244"/>
      <c r="K20" s="104"/>
      <c r="L20" s="35"/>
      <c r="M20" s="15"/>
      <c r="N20" s="94" t="str">
        <f t="shared" si="3"/>
        <v/>
      </c>
      <c r="O20" s="95" t="str">
        <f t="shared" si="4"/>
        <v/>
      </c>
      <c r="P20" s="96" t="str">
        <f t="shared" si="5"/>
        <v/>
      </c>
    </row>
    <row r="21" spans="2:16" ht="24" customHeight="1">
      <c r="B21" s="243"/>
      <c r="C21" s="104"/>
      <c r="D21" s="15"/>
      <c r="E21" s="15"/>
      <c r="F21" s="77" t="str">
        <f t="shared" si="0"/>
        <v/>
      </c>
      <c r="G21" s="78" t="str">
        <f t="shared" si="1"/>
        <v/>
      </c>
      <c r="H21" s="79" t="str">
        <f t="shared" si="2"/>
        <v/>
      </c>
      <c r="I21" s="16"/>
      <c r="J21" s="244"/>
      <c r="K21" s="104"/>
      <c r="L21" s="35"/>
      <c r="M21" s="15"/>
      <c r="N21" s="94" t="str">
        <f t="shared" si="3"/>
        <v/>
      </c>
      <c r="O21" s="95" t="str">
        <f t="shared" si="4"/>
        <v/>
      </c>
      <c r="P21" s="96" t="str">
        <f t="shared" si="5"/>
        <v/>
      </c>
    </row>
    <row r="22" spans="2:16" ht="24" customHeight="1">
      <c r="B22" s="243"/>
      <c r="C22" s="105"/>
      <c r="D22" s="43"/>
      <c r="E22" s="43"/>
      <c r="F22" s="80" t="str">
        <f t="shared" si="0"/>
        <v/>
      </c>
      <c r="G22" s="81" t="str">
        <f t="shared" si="1"/>
        <v/>
      </c>
      <c r="H22" s="82" t="str">
        <f t="shared" si="2"/>
        <v/>
      </c>
      <c r="I22" s="16"/>
      <c r="J22" s="244"/>
      <c r="K22" s="105"/>
      <c r="L22" s="43"/>
      <c r="M22" s="43"/>
      <c r="N22" s="97" t="str">
        <f t="shared" si="3"/>
        <v/>
      </c>
      <c r="O22" s="98" t="str">
        <f t="shared" si="4"/>
        <v/>
      </c>
      <c r="P22" s="99" t="str">
        <f t="shared" si="5"/>
        <v/>
      </c>
    </row>
    <row r="23" spans="2:16" ht="24" customHeight="1">
      <c r="B23" s="69" t="s">
        <v>24</v>
      </c>
      <c r="C23" s="70"/>
      <c r="D23" s="71">
        <f>SUM(D16:D22)</f>
        <v>0</v>
      </c>
      <c r="E23" s="72"/>
      <c r="F23" s="72"/>
      <c r="G23" s="72"/>
      <c r="H23" s="73">
        <f>SUM(H16:H22)</f>
        <v>0</v>
      </c>
      <c r="I23" s="114"/>
      <c r="J23" s="86" t="s">
        <v>24</v>
      </c>
      <c r="K23" s="87"/>
      <c r="L23" s="88">
        <f>SUM(L16:L22)</f>
        <v>8000</v>
      </c>
      <c r="M23" s="89"/>
      <c r="N23" s="89"/>
      <c r="O23" s="89"/>
      <c r="P23" s="90">
        <f>SUM(P16:P22)</f>
        <v>-12950285.748101622</v>
      </c>
    </row>
    <row r="24" spans="2:16" ht="24" customHeight="1">
      <c r="B24" s="18"/>
      <c r="C24" s="16"/>
      <c r="D24" s="17"/>
      <c r="E24" s="17"/>
      <c r="F24" s="17"/>
      <c r="G24" s="17"/>
      <c r="H24" s="16"/>
      <c r="I24" s="16"/>
      <c r="J24" s="16"/>
      <c r="K24" s="17"/>
      <c r="L24" s="17"/>
      <c r="M24" s="17"/>
      <c r="N24" s="17"/>
      <c r="O24" s="18"/>
      <c r="P24" s="18"/>
    </row>
    <row r="25" spans="2:16" ht="24" customHeight="1">
      <c r="B25" s="19"/>
      <c r="C25" s="16"/>
      <c r="D25" s="17"/>
      <c r="E25" s="17"/>
      <c r="F25" s="17"/>
      <c r="G25" s="17"/>
      <c r="H25" s="16"/>
      <c r="I25" s="16"/>
      <c r="J25" s="16"/>
      <c r="K25" s="17"/>
      <c r="L25" s="17"/>
      <c r="M25" s="17"/>
      <c r="N25" s="17"/>
      <c r="O25" s="18"/>
      <c r="P25" s="18"/>
    </row>
    <row r="26" spans="2:16" ht="22.5" customHeight="1">
      <c r="B26" s="178" t="s">
        <v>25</v>
      </c>
      <c r="C26" s="202"/>
      <c r="D26" s="13"/>
      <c r="E26" s="13"/>
      <c r="F26" s="13"/>
      <c r="G26" s="228" t="s">
        <v>2</v>
      </c>
      <c r="H26" s="228"/>
      <c r="I26" s="13"/>
      <c r="J26" s="178" t="s">
        <v>26</v>
      </c>
      <c r="K26" s="202"/>
      <c r="L26" s="13"/>
      <c r="M26" s="13"/>
      <c r="N26" s="13"/>
      <c r="O26" s="228" t="s">
        <v>2</v>
      </c>
      <c r="P26" s="228"/>
    </row>
    <row r="27" spans="2:16" ht="22.5" customHeight="1">
      <c r="B27" s="48" t="s">
        <v>3</v>
      </c>
      <c r="C27" s="218" t="s">
        <v>16</v>
      </c>
      <c r="D27" s="219"/>
      <c r="E27" s="219" t="s">
        <v>7</v>
      </c>
      <c r="F27" s="219"/>
      <c r="G27" s="220" t="s">
        <v>27</v>
      </c>
      <c r="H27" s="221"/>
      <c r="I27" s="1"/>
      <c r="J27" s="48" t="s">
        <v>3</v>
      </c>
      <c r="K27" s="218" t="s">
        <v>16</v>
      </c>
      <c r="L27" s="219"/>
      <c r="M27" s="219" t="s">
        <v>28</v>
      </c>
      <c r="N27" s="219"/>
      <c r="O27" s="220" t="s">
        <v>27</v>
      </c>
      <c r="P27" s="221"/>
    </row>
    <row r="28" spans="2:16" ht="22.5" customHeight="1">
      <c r="B28" s="45" t="s">
        <v>8</v>
      </c>
      <c r="C28" s="222">
        <v>0</v>
      </c>
      <c r="D28" s="223"/>
      <c r="E28" s="223">
        <v>0</v>
      </c>
      <c r="F28" s="223"/>
      <c r="G28" s="224">
        <v>0</v>
      </c>
      <c r="H28" s="225"/>
      <c r="I28" s="20"/>
      <c r="J28" s="45" t="s">
        <v>8</v>
      </c>
      <c r="K28" s="226">
        <v>0</v>
      </c>
      <c r="L28" s="227"/>
      <c r="M28" s="227">
        <v>0</v>
      </c>
      <c r="N28" s="227"/>
      <c r="O28" s="216">
        <v>0</v>
      </c>
      <c r="P28" s="217"/>
    </row>
    <row r="29" spans="2:16" ht="22.5" customHeight="1">
      <c r="B29" s="46" t="s">
        <v>9</v>
      </c>
      <c r="C29" s="180" t="e">
        <f>$E$9-$D$23</f>
        <v>#REF!</v>
      </c>
      <c r="D29" s="181"/>
      <c r="E29" s="182" t="e">
        <f>$G$9</f>
        <v>#REF!</v>
      </c>
      <c r="F29" s="182"/>
      <c r="G29" s="181" t="e">
        <f>C29*E29</f>
        <v>#REF!</v>
      </c>
      <c r="H29" s="212"/>
      <c r="I29" s="16"/>
      <c r="J29" s="46" t="s">
        <v>9</v>
      </c>
      <c r="K29" s="213"/>
      <c r="L29" s="214"/>
      <c r="M29" s="215"/>
      <c r="N29" s="215"/>
      <c r="O29" s="181">
        <f>K29*M29</f>
        <v>0</v>
      </c>
      <c r="P29" s="212"/>
    </row>
    <row r="30" spans="2:16" ht="22.5" customHeight="1">
      <c r="B30" s="47" t="s">
        <v>11</v>
      </c>
      <c r="C30" s="174">
        <f>$E$10-$L$23</f>
        <v>208329</v>
      </c>
      <c r="D30" s="175"/>
      <c r="E30" s="176">
        <f>$G$10</f>
        <v>1618.7857185127027</v>
      </c>
      <c r="F30" s="176"/>
      <c r="G30" s="175">
        <f>C30*E30</f>
        <v>337240009.95203286</v>
      </c>
      <c r="H30" s="201"/>
      <c r="I30" s="16"/>
      <c r="J30" s="47" t="s">
        <v>11</v>
      </c>
      <c r="K30" s="208"/>
      <c r="L30" s="209"/>
      <c r="M30" s="210"/>
      <c r="N30" s="211"/>
      <c r="O30" s="175">
        <f>K30*M30</f>
        <v>0</v>
      </c>
      <c r="P30" s="201"/>
    </row>
    <row r="31" spans="2:16" ht="24" customHeight="1">
      <c r="B31" s="21"/>
      <c r="C31" s="16"/>
      <c r="D31" s="17"/>
      <c r="E31" s="17"/>
      <c r="F31" s="17"/>
      <c r="G31" s="17"/>
      <c r="H31" s="16"/>
      <c r="I31" s="16"/>
      <c r="J31" s="16"/>
      <c r="K31" s="17"/>
      <c r="L31" s="17"/>
      <c r="M31" s="17"/>
      <c r="N31" s="17"/>
      <c r="O31" s="18"/>
      <c r="P31" s="18"/>
    </row>
    <row r="32" spans="2:16" ht="24" customHeight="1">
      <c r="B32" s="18"/>
      <c r="C32" s="16"/>
      <c r="D32" s="17"/>
      <c r="E32" s="17"/>
      <c r="F32" s="17"/>
      <c r="G32" s="17"/>
      <c r="H32" s="16"/>
      <c r="I32" s="16"/>
      <c r="J32" s="16"/>
      <c r="K32" s="17"/>
      <c r="L32" s="17"/>
      <c r="M32" s="17"/>
      <c r="N32" s="17"/>
      <c r="O32" s="18"/>
      <c r="P32" s="18"/>
    </row>
    <row r="33" spans="2:25" ht="24" customHeight="1">
      <c r="B33" s="178" t="s">
        <v>29</v>
      </c>
      <c r="C33" s="202"/>
      <c r="D33" s="13"/>
      <c r="E33" s="13"/>
      <c r="F33" s="13"/>
      <c r="G33" s="203"/>
      <c r="H33" s="203"/>
      <c r="I33" s="16"/>
      <c r="J33" s="16"/>
      <c r="K33" s="17"/>
      <c r="L33" s="17"/>
      <c r="M33" s="17"/>
      <c r="N33" s="17"/>
      <c r="O33" s="18"/>
      <c r="P33" s="18"/>
    </row>
    <row r="34" spans="2:25" ht="24" customHeight="1">
      <c r="B34" s="45" t="s">
        <v>3</v>
      </c>
      <c r="C34" s="204" t="s">
        <v>16</v>
      </c>
      <c r="D34" s="205"/>
      <c r="E34" s="205" t="s">
        <v>30</v>
      </c>
      <c r="F34" s="205"/>
      <c r="G34" s="206" t="s">
        <v>29</v>
      </c>
      <c r="H34" s="207"/>
      <c r="I34" s="16"/>
      <c r="J34" s="16"/>
      <c r="K34" s="17"/>
      <c r="L34" s="17"/>
      <c r="M34" s="17"/>
      <c r="N34" s="17"/>
      <c r="O34" s="119"/>
      <c r="P34" s="18"/>
    </row>
    <row r="35" spans="2:25" ht="24" customHeight="1">
      <c r="B35" s="45" t="s">
        <v>8</v>
      </c>
      <c r="C35" s="197">
        <v>0</v>
      </c>
      <c r="D35" s="198"/>
      <c r="E35" s="198">
        <v>0</v>
      </c>
      <c r="F35" s="198"/>
      <c r="G35" s="199">
        <v>0</v>
      </c>
      <c r="H35" s="200"/>
      <c r="I35" s="16"/>
      <c r="J35" s="16"/>
      <c r="K35" s="17"/>
      <c r="L35" s="17"/>
      <c r="M35" s="17"/>
      <c r="N35" s="17"/>
      <c r="O35" s="18"/>
      <c r="P35" s="18"/>
      <c r="R35" s="2" t="s">
        <v>31</v>
      </c>
    </row>
    <row r="36" spans="2:25" ht="24" customHeight="1">
      <c r="B36" s="46" t="s">
        <v>9</v>
      </c>
      <c r="C36" s="180" t="e">
        <f>$C$29+$K$29</f>
        <v>#REF!</v>
      </c>
      <c r="D36" s="181"/>
      <c r="E36" s="181" t="e">
        <f>$G$29+$O$29</f>
        <v>#REF!</v>
      </c>
      <c r="F36" s="181"/>
      <c r="G36" s="182" t="e">
        <f>E36/C36</f>
        <v>#REF!</v>
      </c>
      <c r="H36" s="183"/>
      <c r="I36" s="16"/>
      <c r="J36" s="16"/>
      <c r="L36" s="17"/>
      <c r="M36" s="17"/>
      <c r="N36" s="17"/>
      <c r="O36" s="18"/>
      <c r="P36" s="18"/>
      <c r="R36" s="172">
        <v>46232</v>
      </c>
      <c r="S36" s="173"/>
      <c r="T36" s="172"/>
      <c r="U36" s="173"/>
      <c r="V36" s="172"/>
      <c r="W36" s="173"/>
      <c r="X36" s="172"/>
      <c r="Y36" s="173"/>
    </row>
    <row r="37" spans="2:25" ht="24" customHeight="1">
      <c r="B37" s="47" t="s">
        <v>11</v>
      </c>
      <c r="C37" s="174">
        <f>$C$30+$K$30</f>
        <v>208329</v>
      </c>
      <c r="D37" s="175"/>
      <c r="E37" s="175">
        <f>$G$30+$O$30-K37</f>
        <v>337240009.95203286</v>
      </c>
      <c r="F37" s="175"/>
      <c r="G37" s="176">
        <f>E37/C37</f>
        <v>1618.7857185127027</v>
      </c>
      <c r="H37" s="177"/>
      <c r="I37" s="16"/>
      <c r="J37" s="17"/>
      <c r="K37" s="17"/>
      <c r="L37" s="17"/>
      <c r="M37" s="17"/>
      <c r="N37" s="23"/>
      <c r="O37" s="18"/>
      <c r="P37" s="18"/>
      <c r="R37" s="121" t="s">
        <v>45</v>
      </c>
      <c r="S37" s="121"/>
      <c r="T37" s="121"/>
      <c r="U37" s="121"/>
      <c r="V37" s="121"/>
      <c r="W37" s="121"/>
      <c r="X37" s="121"/>
      <c r="Y37" s="121"/>
    </row>
    <row r="38" spans="2:25" ht="24" customHeight="1">
      <c r="B38" s="24"/>
      <c r="C38" s="25"/>
      <c r="D38" s="25"/>
      <c r="E38" s="25"/>
      <c r="F38" s="25"/>
      <c r="G38" s="25"/>
      <c r="J38" s="17"/>
      <c r="K38" s="17"/>
      <c r="L38" s="17"/>
      <c r="N38" s="18"/>
      <c r="O38" s="18"/>
      <c r="P38" s="18"/>
      <c r="R38" s="120">
        <f>140000-28000-28000-28000-28000-28000</f>
        <v>0</v>
      </c>
      <c r="S38" s="120"/>
      <c r="T38" s="120"/>
      <c r="U38" s="120"/>
      <c r="V38" s="120"/>
      <c r="W38" s="120"/>
      <c r="X38" s="120"/>
      <c r="Y38" s="120"/>
    </row>
    <row r="39" spans="2:25" ht="24" customHeight="1">
      <c r="B39" s="178" t="s">
        <v>32</v>
      </c>
      <c r="C39" s="179"/>
      <c r="D39" s="44"/>
      <c r="N39" s="18"/>
      <c r="O39" s="112" t="s">
        <v>2</v>
      </c>
      <c r="P39" s="18"/>
      <c r="R39" s="121"/>
      <c r="S39" s="121"/>
      <c r="T39" s="121"/>
      <c r="U39" s="121"/>
      <c r="V39" s="121"/>
      <c r="W39" s="121"/>
      <c r="X39" s="121"/>
      <c r="Y39" s="121"/>
    </row>
    <row r="40" spans="2:25" ht="24" customHeight="1">
      <c r="B40" s="49"/>
      <c r="C40" s="184" t="s">
        <v>33</v>
      </c>
      <c r="D40" s="185"/>
      <c r="E40" s="186"/>
      <c r="F40" s="187" t="s">
        <v>34</v>
      </c>
      <c r="G40" s="187"/>
      <c r="H40" s="187"/>
      <c r="I40" s="187"/>
      <c r="J40" s="187"/>
      <c r="K40" s="187"/>
      <c r="L40" s="187"/>
      <c r="M40" s="187"/>
      <c r="N40" s="188" t="s">
        <v>35</v>
      </c>
      <c r="O40" s="190" t="s">
        <v>36</v>
      </c>
      <c r="P40" s="18"/>
      <c r="Q40" s="131"/>
      <c r="R40" s="132"/>
      <c r="S40" s="131"/>
      <c r="T40" s="127"/>
      <c r="U40" s="127"/>
      <c r="V40" s="127"/>
      <c r="W40" s="127"/>
      <c r="X40" s="127"/>
    </row>
    <row r="41" spans="2:25" ht="27.75" customHeight="1">
      <c r="B41" s="50"/>
      <c r="C41" s="192" t="s">
        <v>37</v>
      </c>
      <c r="D41" s="193"/>
      <c r="E41" s="51"/>
      <c r="F41" s="194" t="s">
        <v>38</v>
      </c>
      <c r="G41" s="195"/>
      <c r="H41" s="195" t="s">
        <v>39</v>
      </c>
      <c r="I41" s="195"/>
      <c r="J41" s="195"/>
      <c r="K41" s="196" t="s">
        <v>25</v>
      </c>
      <c r="L41" s="196"/>
      <c r="M41" s="52" t="s">
        <v>6</v>
      </c>
      <c r="N41" s="189"/>
      <c r="O41" s="191"/>
      <c r="P41" s="18"/>
      <c r="Q41" s="133"/>
      <c r="R41" s="136">
        <v>46241</v>
      </c>
      <c r="S41" s="132" t="s">
        <v>45</v>
      </c>
      <c r="T41" s="122">
        <v>28000</v>
      </c>
      <c r="U41" s="131" t="s">
        <v>58</v>
      </c>
      <c r="V41" s="127"/>
      <c r="W41" s="127"/>
      <c r="X41" s="127"/>
    </row>
    <row r="42" spans="2:25" ht="24" customHeight="1">
      <c r="B42" s="53" t="s">
        <v>40</v>
      </c>
      <c r="C42" s="152"/>
      <c r="D42" s="153"/>
      <c r="E42" s="54"/>
      <c r="F42" s="154"/>
      <c r="G42" s="155"/>
      <c r="H42" s="155"/>
      <c r="I42" s="155"/>
      <c r="J42" s="155"/>
      <c r="K42" s="156"/>
      <c r="L42" s="156"/>
      <c r="M42" s="55"/>
      <c r="N42" s="56"/>
      <c r="O42" s="57"/>
      <c r="P42" s="22"/>
      <c r="Q42" s="136"/>
      <c r="R42" s="136">
        <v>46244</v>
      </c>
      <c r="S42" s="132" t="s">
        <v>45</v>
      </c>
      <c r="T42" s="122">
        <v>28000</v>
      </c>
      <c r="U42" s="131" t="s">
        <v>58</v>
      </c>
      <c r="V42" s="127"/>
      <c r="W42" s="127"/>
      <c r="X42" s="127"/>
    </row>
    <row r="43" spans="2:25" ht="24" customHeight="1">
      <c r="B43" s="58" t="s">
        <v>41</v>
      </c>
      <c r="C43" s="162" t="e">
        <f>SUM($E$9)</f>
        <v>#REF!</v>
      </c>
      <c r="D43" s="163"/>
      <c r="E43" s="59"/>
      <c r="F43" s="164">
        <f>$K$29</f>
        <v>0</v>
      </c>
      <c r="G43" s="165"/>
      <c r="H43" s="165">
        <f>$D$23</f>
        <v>0</v>
      </c>
      <c r="I43" s="165"/>
      <c r="J43" s="165"/>
      <c r="K43" s="166" t="e">
        <f>$C$43-$H$43+$F$43+$O$43</f>
        <v>#REF!</v>
      </c>
      <c r="L43" s="166"/>
      <c r="M43" s="60" t="e">
        <f>SUM($K$43)/$D$9</f>
        <v>#REF!</v>
      </c>
      <c r="N43" s="61" t="e">
        <f>$G$36</f>
        <v>#REF!</v>
      </c>
      <c r="O43" s="100"/>
      <c r="P43" s="22"/>
      <c r="Q43" s="136"/>
      <c r="R43" s="136">
        <v>46247</v>
      </c>
      <c r="S43" s="132" t="s">
        <v>45</v>
      </c>
      <c r="T43" s="122">
        <v>28000</v>
      </c>
      <c r="U43" s="131" t="s">
        <v>58</v>
      </c>
      <c r="V43" s="127"/>
      <c r="W43" s="127"/>
      <c r="X43" s="127"/>
    </row>
    <row r="44" spans="2:25" ht="24.75" customHeight="1">
      <c r="B44" s="62" t="s">
        <v>42</v>
      </c>
      <c r="C44" s="167">
        <f>SUM($E$10)</f>
        <v>216329</v>
      </c>
      <c r="D44" s="168"/>
      <c r="E44" s="63"/>
      <c r="F44" s="169">
        <f>$K$30</f>
        <v>0</v>
      </c>
      <c r="G44" s="170"/>
      <c r="H44" s="170">
        <f>$L$23</f>
        <v>8000</v>
      </c>
      <c r="I44" s="170"/>
      <c r="J44" s="170"/>
      <c r="K44" s="171">
        <f>$C$44-$H$44+$F$44+$O$44</f>
        <v>208626</v>
      </c>
      <c r="L44" s="171"/>
      <c r="M44" s="64">
        <f>SUM($K$44)/D10</f>
        <v>0.27816800000000003</v>
      </c>
      <c r="N44" s="65">
        <f>$G$37</f>
        <v>1618.7857185127027</v>
      </c>
      <c r="O44" s="101">
        <v>297</v>
      </c>
      <c r="P44" s="22"/>
      <c r="Q44" s="136"/>
      <c r="R44" s="136">
        <v>46260</v>
      </c>
      <c r="S44" s="132" t="s">
        <v>45</v>
      </c>
      <c r="T44" s="122">
        <v>28000</v>
      </c>
      <c r="U44" s="131" t="s">
        <v>58</v>
      </c>
      <c r="V44" s="129"/>
      <c r="W44" s="127"/>
      <c r="X44" s="127"/>
    </row>
    <row r="45" spans="2:25" ht="21.75" customHeight="1">
      <c r="B45" s="26"/>
      <c r="C45" s="157"/>
      <c r="D45" s="159"/>
      <c r="E45" s="159"/>
      <c r="F45" s="159"/>
      <c r="G45" s="160" t="s">
        <v>43</v>
      </c>
      <c r="H45" s="160"/>
      <c r="I45" s="160"/>
      <c r="J45" s="160"/>
      <c r="K45" s="160"/>
      <c r="L45" s="160"/>
      <c r="M45" s="160"/>
      <c r="N45" s="160"/>
      <c r="O45" s="160"/>
      <c r="P45" s="24"/>
      <c r="Q45" s="136"/>
      <c r="R45" s="136">
        <v>46262</v>
      </c>
      <c r="S45" s="132" t="s">
        <v>45</v>
      </c>
      <c r="T45" s="122">
        <v>28000</v>
      </c>
      <c r="U45" s="131" t="s">
        <v>58</v>
      </c>
    </row>
    <row r="46" spans="2:25" ht="25.5" customHeight="1">
      <c r="B46" s="27"/>
      <c r="C46" s="158"/>
      <c r="D46" s="108"/>
      <c r="E46" s="108"/>
      <c r="F46" s="108"/>
      <c r="G46" s="108"/>
      <c r="H46" s="161"/>
      <c r="I46" s="161"/>
      <c r="J46" s="161"/>
      <c r="K46" s="161"/>
      <c r="L46" s="161"/>
      <c r="M46" s="161"/>
      <c r="N46" s="161"/>
      <c r="O46" s="118"/>
      <c r="P46" s="116"/>
      <c r="Q46" s="136"/>
      <c r="R46" s="132"/>
      <c r="S46" s="122"/>
      <c r="T46" s="131"/>
    </row>
    <row r="47" spans="2:25" ht="25.5" customHeight="1">
      <c r="B47" s="114"/>
      <c r="C47" s="17"/>
      <c r="D47" s="17"/>
      <c r="E47" s="17"/>
      <c r="F47" s="17"/>
      <c r="G47" s="17"/>
      <c r="H47" s="17"/>
      <c r="I47" s="17"/>
      <c r="J47" s="29"/>
      <c r="K47" s="17"/>
      <c r="L47" s="30"/>
      <c r="N47" s="115"/>
      <c r="O47" s="115"/>
      <c r="P47" s="116"/>
      <c r="Q47" s="136"/>
      <c r="R47" s="132"/>
      <c r="S47" s="122"/>
      <c r="T47" s="131"/>
    </row>
    <row r="48" spans="2:25" ht="25.5" customHeight="1">
      <c r="B48" s="114"/>
      <c r="C48" s="17"/>
      <c r="D48" s="17"/>
      <c r="E48" s="17"/>
      <c r="F48" s="17"/>
      <c r="G48" s="17"/>
      <c r="H48" s="17"/>
      <c r="I48" s="17"/>
      <c r="J48" s="29"/>
      <c r="K48" s="17"/>
      <c r="L48" s="30"/>
      <c r="N48" s="124"/>
      <c r="O48" s="24"/>
      <c r="Q48" s="136"/>
      <c r="R48" s="132"/>
      <c r="S48" s="122"/>
      <c r="T48" s="131"/>
    </row>
    <row r="49" spans="2:20" ht="25.5" customHeight="1">
      <c r="B49" s="114"/>
      <c r="C49" s="17"/>
      <c r="D49" s="17"/>
      <c r="E49" s="17"/>
      <c r="F49" s="17"/>
      <c r="G49" s="17"/>
      <c r="H49" s="17"/>
      <c r="I49" s="17"/>
      <c r="J49" s="29"/>
      <c r="K49" s="17"/>
      <c r="L49" s="30"/>
      <c r="N49" s="4"/>
      <c r="O49" s="4"/>
      <c r="P49" s="4"/>
      <c r="Q49" s="136"/>
      <c r="R49" s="132"/>
      <c r="S49" s="122"/>
      <c r="T49" s="131"/>
    </row>
    <row r="50" spans="2:20" ht="25.5" customHeight="1">
      <c r="J50" s="151"/>
      <c r="K50" s="151"/>
      <c r="Q50" s="136"/>
      <c r="R50" s="132"/>
      <c r="S50" s="122"/>
      <c r="T50" s="131"/>
    </row>
    <row r="51" spans="2:20" ht="20.25" customHeight="1">
      <c r="Q51" s="136"/>
      <c r="R51" s="132"/>
      <c r="S51" s="122"/>
      <c r="T51" s="131"/>
    </row>
    <row r="52" spans="2:20" ht="20.25" customHeight="1">
      <c r="Q52" s="136"/>
      <c r="R52" s="132"/>
      <c r="S52" s="122"/>
      <c r="T52" s="131"/>
    </row>
    <row r="53" spans="2:20" ht="20.25" customHeight="1">
      <c r="Q53" s="136"/>
      <c r="R53" s="132"/>
      <c r="S53" s="122"/>
      <c r="T53" s="131"/>
    </row>
    <row r="54" spans="2:20" ht="20.25" customHeight="1">
      <c r="Q54" s="136"/>
      <c r="R54" s="132"/>
      <c r="S54" s="122"/>
      <c r="T54" s="131"/>
    </row>
    <row r="55" spans="2:20" ht="20.25" customHeight="1">
      <c r="Q55" s="136"/>
      <c r="R55" s="132"/>
      <c r="S55" s="122"/>
      <c r="T55" s="131"/>
    </row>
    <row r="122" ht="25.5" customHeight="1"/>
    <row r="123" ht="25.5" customHeight="1"/>
    <row r="124" ht="25.5" customHeight="1"/>
  </sheetData>
  <mergeCells count="87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K30:L30"/>
    <mergeCell ref="M30:N30"/>
    <mergeCell ref="O30:P30"/>
    <mergeCell ref="C29:D29"/>
    <mergeCell ref="E29:F29"/>
    <mergeCell ref="G29:H29"/>
    <mergeCell ref="K29:L29"/>
    <mergeCell ref="M29:N29"/>
    <mergeCell ref="O29:P29"/>
    <mergeCell ref="C35:D35"/>
    <mergeCell ref="E35:F35"/>
    <mergeCell ref="G35:H35"/>
    <mergeCell ref="C30:D30"/>
    <mergeCell ref="E30:F30"/>
    <mergeCell ref="G30:H30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H46:N46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A2EF9312E388D4AB8B25C706DA469DD" ma:contentTypeVersion="13" ma:contentTypeDescription="새 문서를 만듭니다." ma:contentTypeScope="" ma:versionID="d70c89f8583ac7c5e7fc3bd89e243040">
  <xsd:schema xmlns:xsd="http://www.w3.org/2001/XMLSchema" xmlns:xs="http://www.w3.org/2001/XMLSchema" xmlns:p="http://schemas.microsoft.com/office/2006/metadata/properties" xmlns:ns2="10ca9d65-7e40-43aa-a3af-b4abd9eb226d" xmlns:ns3="d107b9a1-f7b9-4b0a-8cf8-5b5c3c16cd5c" targetNamespace="http://schemas.microsoft.com/office/2006/metadata/properties" ma:root="true" ma:fieldsID="bf41f7e09c40c39f01c1962de2ed1ed2" ns2:_="" ns3:_="">
    <xsd:import namespace="10ca9d65-7e40-43aa-a3af-b4abd9eb226d"/>
    <xsd:import namespace="d107b9a1-f7b9-4b0a-8cf8-5b5c3c16c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TEST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a9d65-7e40-43aa-a3af-b4abd9eb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EST" ma:index="11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2abebdaf-8092-44e9-8988-34bc1dd9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7b9a1-f7b9-4b0a-8cf8-5b5c3c16cd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928d3fe-75b9-4899-8691-c7f9fa907b3d}" ma:internalName="TaxCatchAll" ma:showField="CatchAllData" ma:web="d107b9a1-f7b9-4b0a-8cf8-5b5c3c16c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10ca9d65-7e40-43aa-a3af-b4abd9eb226d" xsi:nil="true"/>
    <TaxCatchAll xmlns="d107b9a1-f7b9-4b0a-8cf8-5b5c3c16cd5c" xsi:nil="true"/>
    <lcf76f155ced4ddcb4097134ff3c332f xmlns="10ca9d65-7e40-43aa-a3af-b4abd9eb22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574AB4-DB28-446A-A9BD-8C857D908FEB}"/>
</file>

<file path=customXml/itemProps2.xml><?xml version="1.0" encoding="utf-8"?>
<ds:datastoreItem xmlns:ds="http://schemas.openxmlformats.org/officeDocument/2006/customXml" ds:itemID="{5540A9DA-D0C9-4626-A859-BA3FAA925473}"/>
</file>

<file path=customXml/itemProps3.xml><?xml version="1.0" encoding="utf-8"?>
<ds:datastoreItem xmlns:ds="http://schemas.openxmlformats.org/officeDocument/2006/customXml" ds:itemID="{DE7D5CE8-8D1B-4D3E-B44A-A390800D0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</dc:creator>
  <cp:keywords/>
  <dc:description/>
  <cp:lastModifiedBy>박태건</cp:lastModifiedBy>
  <cp:revision/>
  <dcterms:created xsi:type="dcterms:W3CDTF">2013-03-29T08:15:26Z</dcterms:created>
  <dcterms:modified xsi:type="dcterms:W3CDTF">2026-09-11T00:57:06Z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0x0101008A2EF9312E388D4AB8B25C706DA469DD</vt:lpwstr>
  </property>
  <property fmtid="{D5CDD505-2E9C-101B-9397-08002B2CF9AE}" pid="3" name="MediaServiceImageTags">
    <vt:lpwstr/>
  </property>
</Properties>
</file>