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 Antwi\Downloads\"/>
    </mc:Choice>
  </mc:AlternateContent>
  <xr:revisionPtr revIDLastSave="0" documentId="13_ncr:1_{D5C8C425-03F0-4E4C-8CFC-28DFBC9E2139}" xr6:coauthVersionLast="47" xr6:coauthVersionMax="47" xr10:uidLastSave="{00000000-0000-0000-0000-000000000000}"/>
  <bookViews>
    <workbookView xWindow="-120" yWindow="-120" windowWidth="20730" windowHeight="11040" tabRatio="707" xr2:uid="{00000000-000D-0000-FFFF-FFFF00000000}"/>
  </bookViews>
  <sheets>
    <sheet name="1. Executive Summary" sheetId="1" r:id="rId1"/>
    <sheet name="Reefer Replacement &amp; Cold Room-" sheetId="2" state="hidden" r:id="rId2"/>
    <sheet name="Calculation" sheetId="3" state="hidden" r:id="rId3"/>
    <sheet name="Cold Room &amp; Solar-Cost Estimate" sheetId="4" r:id="rId4"/>
    <sheet name="Calculation 2" sheetId="5" r:id="rId5"/>
    <sheet name="2. Haulage-Summary" sheetId="6" r:id="rId6"/>
    <sheet name="3. Haulage-Assumption" sheetId="7" r:id="rId7"/>
    <sheet name="4. Chest Freezers-Summary" sheetId="8" r:id="rId8"/>
    <sheet name="5. Chest Freezers-Assumption" sheetId="9" r:id="rId9"/>
    <sheet name="6. Horticulture Project 1" sheetId="10" r:id="rId10"/>
    <sheet name="7. Horticulture Project 2" sheetId="11" r:id="rId11"/>
    <sheet name="8. Horticulture Project 3" sheetId="12" r:id="rId12"/>
    <sheet name="9. Project 1-Assumption" sheetId="13" r:id="rId13"/>
    <sheet name="10. Project 2-Assumption" sheetId="14" r:id="rId14"/>
    <sheet name="11. Project 3-Assumption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8" l="1"/>
  <c r="L7" i="8"/>
  <c r="D7" i="8"/>
  <c r="D15" i="8"/>
  <c r="C49" i="15"/>
  <c r="C52" i="15" s="1"/>
  <c r="C53" i="15" s="1"/>
  <c r="C55" i="15" s="1"/>
  <c r="C46" i="15"/>
  <c r="C54" i="15" s="1"/>
  <c r="C29" i="15"/>
  <c r="C30" i="15" s="1"/>
  <c r="C31" i="15" s="1"/>
  <c r="C10" i="15"/>
  <c r="C12" i="15" s="1"/>
  <c r="C9" i="15"/>
  <c r="C34" i="14"/>
  <c r="K25" i="14" s="1"/>
  <c r="C32" i="14"/>
  <c r="C33" i="14" s="1"/>
  <c r="C35" i="14" s="1"/>
  <c r="C29" i="14"/>
  <c r="C26" i="14"/>
  <c r="L25" i="14"/>
  <c r="J25" i="14"/>
  <c r="C14" i="14"/>
  <c r="C18" i="14" s="1"/>
  <c r="C11" i="14"/>
  <c r="C17" i="14" s="1"/>
  <c r="F4" i="11" s="1"/>
  <c r="C10" i="14"/>
  <c r="C9" i="14"/>
  <c r="C50" i="13"/>
  <c r="L41" i="13" s="1"/>
  <c r="C45" i="13"/>
  <c r="C48" i="13" s="1"/>
  <c r="C49" i="13" s="1"/>
  <c r="C51" i="13" s="1"/>
  <c r="C42" i="13"/>
  <c r="C34" i="10" s="1"/>
  <c r="K41" i="13"/>
  <c r="J41" i="13"/>
  <c r="C27" i="13"/>
  <c r="C28" i="13" s="1"/>
  <c r="C8" i="13"/>
  <c r="C9" i="13" s="1"/>
  <c r="F43" i="12"/>
  <c r="C43" i="12"/>
  <c r="F35" i="12"/>
  <c r="C35" i="12"/>
  <c r="F26" i="12"/>
  <c r="C26" i="12"/>
  <c r="C18" i="12"/>
  <c r="F12" i="12"/>
  <c r="C12" i="12"/>
  <c r="C4" i="12"/>
  <c r="F29" i="11"/>
  <c r="C29" i="11"/>
  <c r="F21" i="11"/>
  <c r="C21" i="11"/>
  <c r="F12" i="11"/>
  <c r="C12" i="11"/>
  <c r="C4" i="11"/>
  <c r="F41" i="10"/>
  <c r="C41" i="10"/>
  <c r="F34" i="10"/>
  <c r="F25" i="10"/>
  <c r="C25" i="10"/>
  <c r="C17" i="10"/>
  <c r="F11" i="10"/>
  <c r="C11" i="10"/>
  <c r="C4" i="10"/>
  <c r="B9" i="9"/>
  <c r="B8" i="9"/>
  <c r="B10" i="9" s="1"/>
  <c r="B5" i="9"/>
  <c r="L11" i="8"/>
  <c r="D11" i="8"/>
  <c r="B19" i="7"/>
  <c r="B22" i="7" s="1"/>
  <c r="B9" i="7"/>
  <c r="B6" i="7"/>
  <c r="B8" i="7" s="1"/>
  <c r="B5" i="7"/>
  <c r="C21" i="6"/>
  <c r="C13" i="6"/>
  <c r="C5" i="6"/>
  <c r="D17" i="4"/>
  <c r="C17" i="4"/>
  <c r="B12" i="4"/>
  <c r="E16" i="4" s="1"/>
  <c r="C10" i="4"/>
  <c r="D7" i="2"/>
  <c r="B7" i="2"/>
  <c r="L7" i="1"/>
  <c r="J7" i="1"/>
  <c r="H7" i="1"/>
  <c r="D7" i="1"/>
  <c r="B7" i="1"/>
  <c r="K22" i="7" l="1"/>
  <c r="G22" i="7"/>
  <c r="J22" i="7"/>
  <c r="I22" i="7"/>
  <c r="H22" i="7"/>
  <c r="I21" i="11"/>
  <c r="K8" i="14"/>
  <c r="B21" i="7"/>
  <c r="F21" i="6" s="1"/>
  <c r="B7" i="7"/>
  <c r="B15" i="7"/>
  <c r="F5" i="6" s="1"/>
  <c r="B14" i="7"/>
  <c r="B16" i="7" s="1"/>
  <c r="B11" i="7"/>
  <c r="F13" i="6" s="1"/>
  <c r="I4" i="11"/>
  <c r="K9" i="14"/>
  <c r="C14" i="15"/>
  <c r="C17" i="15" s="1"/>
  <c r="C13" i="15"/>
  <c r="C15" i="15" s="1"/>
  <c r="I34" i="10"/>
  <c r="K8" i="13"/>
  <c r="C30" i="13"/>
  <c r="C29" i="13"/>
  <c r="F4" i="10" s="1"/>
  <c r="B17" i="9"/>
  <c r="B18" i="9" s="1"/>
  <c r="B22" i="9" s="1"/>
  <c r="B14" i="9"/>
  <c r="B15" i="9" s="1"/>
  <c r="B11" i="9"/>
  <c r="B20" i="9" s="1"/>
  <c r="C37" i="15"/>
  <c r="F18" i="12" s="1"/>
  <c r="C34" i="15"/>
  <c r="I35" i="12"/>
  <c r="K7" i="15"/>
  <c r="C12" i="13"/>
  <c r="C15" i="13"/>
  <c r="F17" i="10" s="1"/>
  <c r="F7" i="2"/>
  <c r="F7" i="1"/>
  <c r="H45" i="15"/>
  <c r="L45" i="15"/>
  <c r="K45" i="15"/>
  <c r="J45" i="15"/>
  <c r="I45" i="15"/>
  <c r="E17" i="4"/>
  <c r="H41" i="13"/>
  <c r="C16" i="14"/>
  <c r="C9" i="4"/>
  <c r="D9" i="4" s="1"/>
  <c r="I41" i="13"/>
  <c r="C11" i="15"/>
  <c r="F4" i="12" s="1"/>
  <c r="B17" i="7"/>
  <c r="H25" i="14"/>
  <c r="M25" i="14" s="1"/>
  <c r="I29" i="11" s="1"/>
  <c r="B10" i="7"/>
  <c r="B20" i="7"/>
  <c r="I25" i="14"/>
  <c r="C16" i="13" l="1"/>
  <c r="C14" i="13"/>
  <c r="K4" i="7"/>
  <c r="K26" i="7" s="1"/>
  <c r="G4" i="7"/>
  <c r="J4" i="7"/>
  <c r="J26" i="7" s="1"/>
  <c r="I4" i="7"/>
  <c r="I26" i="7" s="1"/>
  <c r="H4" i="7"/>
  <c r="H26" i="7" s="1"/>
  <c r="M45" i="15"/>
  <c r="C38" i="15"/>
  <c r="C36" i="15"/>
  <c r="I8" i="7"/>
  <c r="I5" i="6"/>
  <c r="L4" i="14"/>
  <c r="L37" i="14" s="1"/>
  <c r="K4" i="14"/>
  <c r="K37" i="14" s="1"/>
  <c r="J4" i="14"/>
  <c r="J37" i="14" s="1"/>
  <c r="I4" i="14"/>
  <c r="I37" i="14" s="1"/>
  <c r="H4" i="14"/>
  <c r="C32" i="13"/>
  <c r="C35" i="13" s="1"/>
  <c r="C31" i="13"/>
  <c r="C33" i="13" s="1"/>
  <c r="M41" i="13"/>
  <c r="B29" i="9"/>
  <c r="B28" i="9"/>
  <c r="K9" i="15"/>
  <c r="I4" i="12"/>
  <c r="L22" i="7"/>
  <c r="I9" i="7" s="1"/>
  <c r="K10" i="14"/>
  <c r="B19" i="9"/>
  <c r="B23" i="9" s="1"/>
  <c r="J10" i="1" s="1"/>
  <c r="B15" i="5" s="1"/>
  <c r="B21" i="9"/>
  <c r="I4" i="15"/>
  <c r="H4" i="15"/>
  <c r="L4" i="15"/>
  <c r="K4" i="15"/>
  <c r="J4" i="15"/>
  <c r="L24" i="15" l="1"/>
  <c r="L57" i="15" s="1"/>
  <c r="K24" i="15"/>
  <c r="K57" i="15" s="1"/>
  <c r="J24" i="15"/>
  <c r="I24" i="15"/>
  <c r="H24" i="15"/>
  <c r="I18" i="12"/>
  <c r="K8" i="15"/>
  <c r="I43" i="12"/>
  <c r="K10" i="15"/>
  <c r="H57" i="15"/>
  <c r="M4" i="15"/>
  <c r="K9" i="13"/>
  <c r="I17" i="10"/>
  <c r="I57" i="15"/>
  <c r="K10" i="13"/>
  <c r="I4" i="10"/>
  <c r="B33" i="9"/>
  <c r="B32" i="9"/>
  <c r="F10" i="2"/>
  <c r="F10" i="1"/>
  <c r="I41" i="10"/>
  <c r="K11" i="13"/>
  <c r="J57" i="15"/>
  <c r="L22" i="13"/>
  <c r="K22" i="13"/>
  <c r="J22" i="13"/>
  <c r="I22" i="13"/>
  <c r="H22" i="13"/>
  <c r="G26" i="7"/>
  <c r="L4" i="7"/>
  <c r="I21" i="6"/>
  <c r="L10" i="1"/>
  <c r="B16" i="5" s="1"/>
  <c r="H37" i="14"/>
  <c r="M4" i="14"/>
  <c r="L4" i="13"/>
  <c r="L53" i="13" s="1"/>
  <c r="K4" i="13"/>
  <c r="K53" i="13" s="1"/>
  <c r="J4" i="13"/>
  <c r="J53" i="13" s="1"/>
  <c r="I4" i="13"/>
  <c r="H4" i="13"/>
  <c r="M22" i="13" l="1"/>
  <c r="B13" i="5"/>
  <c r="B13" i="3"/>
  <c r="M37" i="14"/>
  <c r="I12" i="11"/>
  <c r="K11" i="14"/>
  <c r="I13" i="6"/>
  <c r="L26" i="7"/>
  <c r="H10" i="1"/>
  <c r="B14" i="5" s="1"/>
  <c r="I10" i="7"/>
  <c r="M24" i="15"/>
  <c r="M4" i="13"/>
  <c r="H53" i="13"/>
  <c r="I53" i="13"/>
  <c r="M57" i="15"/>
  <c r="I12" i="12"/>
  <c r="K11" i="15"/>
  <c r="D10" i="1" l="1"/>
  <c r="I25" i="10"/>
  <c r="D10" i="2"/>
  <c r="M53" i="13"/>
  <c r="K13" i="13"/>
  <c r="I26" i="12"/>
  <c r="K12" i="15"/>
  <c r="I11" i="10"/>
  <c r="B10" i="1"/>
  <c r="B10" i="2"/>
  <c r="H10" i="2" s="1"/>
  <c r="B2" i="3" s="1"/>
  <c r="B4" i="3" s="1"/>
  <c r="B5" i="3" s="1"/>
  <c r="K12" i="13"/>
  <c r="C13" i="3" l="1"/>
  <c r="D13" i="3"/>
  <c r="F11" i="2" s="1"/>
  <c r="D11" i="3"/>
  <c r="B11" i="2" s="1"/>
  <c r="D12" i="3"/>
  <c r="D11" i="2" s="1"/>
  <c r="N10" i="1"/>
  <c r="B2" i="5" s="1"/>
  <c r="B4" i="5" s="1"/>
  <c r="B11" i="5"/>
  <c r="B11" i="3"/>
  <c r="B12" i="5"/>
  <c r="C12" i="5" s="1"/>
  <c r="B12" i="3"/>
  <c r="C12" i="3" s="1"/>
  <c r="B14" i="3" l="1"/>
  <c r="C11" i="3"/>
  <c r="B17" i="5"/>
  <c r="C11" i="5"/>
  <c r="E3" i="5"/>
  <c r="Q7" i="1" s="1"/>
  <c r="D13" i="1"/>
  <c r="B5" i="5"/>
  <c r="C15" i="5"/>
  <c r="C16" i="5"/>
  <c r="C14" i="5"/>
  <c r="C13" i="5"/>
  <c r="E3" i="3"/>
  <c r="D13" i="2"/>
  <c r="F13" i="2"/>
  <c r="E4" i="3"/>
  <c r="L8" i="2" s="1"/>
  <c r="E6" i="5" l="1"/>
  <c r="Q10" i="1" s="1"/>
  <c r="J13" i="1"/>
  <c r="D14" i="5"/>
  <c r="H11" i="1" s="1"/>
  <c r="D11" i="5"/>
  <c r="B11" i="1" s="1"/>
  <c r="D16" i="5"/>
  <c r="L11" i="1" s="1"/>
  <c r="D13" i="5"/>
  <c r="F11" i="1" s="1"/>
  <c r="D12" i="5"/>
  <c r="D11" i="1" s="1"/>
  <c r="D15" i="5"/>
  <c r="J11" i="1" s="1"/>
  <c r="B3" i="4"/>
  <c r="L7" i="2"/>
  <c r="E2" i="5"/>
  <c r="Q6" i="1" s="1"/>
  <c r="C17" i="5"/>
  <c r="B13" i="1"/>
  <c r="F13" i="1"/>
  <c r="E4" i="5"/>
  <c r="Q8" i="1" s="1"/>
  <c r="E5" i="5"/>
  <c r="Q9" i="1" s="1"/>
  <c r="H13" i="1"/>
  <c r="E2" i="3"/>
  <c r="L6" i="2" s="1"/>
  <c r="C14" i="3"/>
  <c r="B13" i="2"/>
  <c r="H13" i="2" s="1"/>
  <c r="E7" i="5"/>
  <c r="Q11" i="1" s="1"/>
  <c r="L13" i="1"/>
  <c r="D3" i="4" l="1"/>
  <c r="E3" i="4"/>
  <c r="N13" i="1"/>
  <c r="F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2000000}">
      <text>
        <r>
          <rPr>
            <sz val="10"/>
            <color rgb="FF000000"/>
            <rFont val="Arial"/>
            <scheme val="minor"/>
          </rPr>
          <t>Post Harvest Loss Reduction is tied to farmers that the company will build Cold Room for.
	-George Antwi</t>
        </r>
      </text>
    </comment>
  </commentList>
</comments>
</file>

<file path=xl/sharedStrings.xml><?xml version="1.0" encoding="utf-8"?>
<sst xmlns="http://schemas.openxmlformats.org/spreadsheetml/2006/main" count="717" uniqueCount="261">
  <si>
    <t>Summary</t>
  </si>
  <si>
    <t>Old Reefer Replacement</t>
  </si>
  <si>
    <t>Solar + Battery (Cold Room)</t>
  </si>
  <si>
    <t>Post Harvest Loss Reduction</t>
  </si>
  <si>
    <t>Solar + Battery (Haulage)</t>
  </si>
  <si>
    <t>Solar + Battery (Chest Freezers)</t>
  </si>
  <si>
    <t>Dehumidifier (Haulage)</t>
  </si>
  <si>
    <t>No. of Interventions Needed To Achieve 250,000 Tonnes of CO2 Savings Over 5 years</t>
  </si>
  <si>
    <t>Interventions</t>
  </si>
  <si>
    <t>Quantity</t>
  </si>
  <si>
    <t>Unit</t>
  </si>
  <si>
    <t>Old Reefers</t>
  </si>
  <si>
    <t>Reefer Containers</t>
  </si>
  <si>
    <t xml:space="preserve">Solar+Battery(Cold Room) </t>
  </si>
  <si>
    <t>Cold Rooms (120 sqm)</t>
  </si>
  <si>
    <t>Cold Rooms(120,40,40 sqm)</t>
  </si>
  <si>
    <t>Tonnes of Produce</t>
  </si>
  <si>
    <t>40ft Haulage Trucks</t>
  </si>
  <si>
    <t>Solar Chest Freezers</t>
  </si>
  <si>
    <t>TOTAL SAVINGS</t>
  </si>
  <si>
    <t>Post Harvest Loss</t>
  </si>
  <si>
    <t>Tonnes of Produce Loss</t>
  </si>
  <si>
    <t>Solar+Battery (Haulage)</t>
  </si>
  <si>
    <t>CARBON EMISSION (TONNES) SAVINGS OVER 5 YEARS</t>
  </si>
  <si>
    <t>PERCENTAGE INCREMENT</t>
  </si>
  <si>
    <t>THRESHOLD SAVINGS</t>
  </si>
  <si>
    <t>THRESHOLD REQUIREMENT IN CARBON EMISSION (TONNES) SAVINGS OVER 5 YEARS</t>
  </si>
  <si>
    <t>Current total CO₂ savings Over 5 Years (Tonnes)</t>
  </si>
  <si>
    <t>Target CO₂ savings Over 5 Years (Tonnes)</t>
  </si>
  <si>
    <t xml:space="preserve">Cold Room (Solar+Battery) </t>
  </si>
  <si>
    <t>Scaling Factor</t>
  </si>
  <si>
    <t>Percentage Increase</t>
  </si>
  <si>
    <t>Current CO₂ Savings (tonnes/5yrs)</t>
  </si>
  <si>
    <t>Scaled CO₂ Savings (tonnes/5yrs)</t>
  </si>
  <si>
    <t>Percentage Increment</t>
  </si>
  <si>
    <t xml:space="preserve">Old Reefer </t>
  </si>
  <si>
    <t xml:space="preserve">Solar+Battery (Cold Room) </t>
  </si>
  <si>
    <t>Total</t>
  </si>
  <si>
    <t>Total Cost of 102 Cold Rooms (120 sqm each)</t>
  </si>
  <si>
    <t>Number of Cold Rooms</t>
  </si>
  <si>
    <t>Size Per Cold Room   (m²)</t>
  </si>
  <si>
    <t>Cold Room Cost (€)</t>
  </si>
  <si>
    <t>Solar + Battery Cost (€)</t>
  </si>
  <si>
    <t>Total Cost (€)</t>
  </si>
  <si>
    <t>Cold Room Cost</t>
  </si>
  <si>
    <t>Cold Room Size (m²)</t>
  </si>
  <si>
    <t>Cost (€)</t>
  </si>
  <si>
    <t>Cost per m² (€)</t>
  </si>
  <si>
    <t>Solar + Battery Cost</t>
  </si>
  <si>
    <t>Solar Power (kVA)</t>
  </si>
  <si>
    <t>Cost (GHS)</t>
  </si>
  <si>
    <t>Solar Cooling Unit &amp; Dehumidifier</t>
  </si>
  <si>
    <t>A fleet of 15 refrigerated haulage trucks operates 12 hours per day,
6 days a week, for 312 days per year. Each truck's cooling unit (Thermo King T800) 
consumes 57 litres of diesel per hour, leading to a total annual fuel consumption 
of 213,408 litres and 1,067,040 litres over 5 years.
By implementing Solar Cooling Technology, the fleet achieves an annual fuel savings 
of 118,800 litres, reducing diesel consumption by 55.67%. Over 5 years, this results 
in a total fuel savings of 594,000 litres and a 1,728-tonne reduction in CO₂ emissions.
Additionally, Dehumidifier Technology saves 46,612.5 litres of diesel per year, 
contributing to a 21.84% reduction in fuel use. Over 5 years, this leads to a 
total fuel savings of 233,062.5 litres and a 678-tonne reduction in CO₂ emissions.
Overall, adopting these technologies over 5 years results in a combined 
fuel savings of 827,062.5 litres and a 2,406-tonne reduction in CO₂ emissions, 
significantly lowering operational costs and promoting sustainability and 
environmental responsibility.</t>
  </si>
  <si>
    <t>No. of Haulage Truck (40ft refrigerated reefer trailer)</t>
  </si>
  <si>
    <t>Diesel Consumption of Hualage Truck (Litres) Over 5 Years</t>
  </si>
  <si>
    <t>Diesel Carbon Emission (Tonnes) of Haulage Truck Over 5 Years</t>
  </si>
  <si>
    <t>Solar Cooling Unit Intervention</t>
  </si>
  <si>
    <t>Diesel Annual Consumption Savings In Percentage After Solar Cooling Unit Intervention</t>
  </si>
  <si>
    <t>Diesel Carbon Emission Savings (Tonnes) of Haulage Truck Over 5 Years</t>
  </si>
  <si>
    <t>Dehumidifier Intervention</t>
  </si>
  <si>
    <t>Diesel Annual Consumption Savings In Percentage After Dehumidifer Intervention</t>
  </si>
  <si>
    <t>Assumption</t>
  </si>
  <si>
    <t>unit</t>
  </si>
  <si>
    <t xml:space="preserve">source </t>
  </si>
  <si>
    <t>Diesel Carbon Emission Savings (Tonnes) Over 5 Years After Solar Cooling Unit Intervention</t>
  </si>
  <si>
    <t xml:space="preserve">Number of Haulage Truck (40ft refrigerated reefer trailer) </t>
  </si>
  <si>
    <t>Number of Hours per day</t>
  </si>
  <si>
    <t>hrs</t>
  </si>
  <si>
    <t>Year 1</t>
  </si>
  <si>
    <t>Year 2</t>
  </si>
  <si>
    <t>Year 3</t>
  </si>
  <si>
    <t>Year 4</t>
  </si>
  <si>
    <t>Year 5</t>
  </si>
  <si>
    <t>Number of days per week</t>
  </si>
  <si>
    <t>days</t>
  </si>
  <si>
    <t>Hualage Trucks</t>
  </si>
  <si>
    <t>Number of days per annum</t>
  </si>
  <si>
    <t>Fuel Consumption of cooling unit Per Hour (Thermo King T800)</t>
  </si>
  <si>
    <t>litres per hr</t>
  </si>
  <si>
    <t>Fuel Consumption Per Day of cooling unit(Thermo King T800)</t>
  </si>
  <si>
    <t>litres per day</t>
  </si>
  <si>
    <t>Fuel Consumption Per Year of cooling unit(Thermo King T800)</t>
  </si>
  <si>
    <t>litres per year</t>
  </si>
  <si>
    <t>Diesel</t>
  </si>
  <si>
    <t>Fuel Savings Per Year after using  Solar Cooling Unit</t>
  </si>
  <si>
    <t>Dehumidifier</t>
  </si>
  <si>
    <t>Daily Fuel Savings after using  Solar Cooling Unit</t>
  </si>
  <si>
    <t>Solar Cooling Unit</t>
  </si>
  <si>
    <t>Percentage of Fuel Savings Per Year after using  Solar Cooling Unit</t>
  </si>
  <si>
    <t>Carbon Emission per 1 litre of Diesel</t>
  </si>
  <si>
    <t>kgCo2/Litre</t>
  </si>
  <si>
    <t>Diesel Carbon Emission</t>
  </si>
  <si>
    <t>Convertion Rate of Kilo gram to Tonnes</t>
  </si>
  <si>
    <t>kg-tonne</t>
  </si>
  <si>
    <t>Diesel Carbon Emission (Tonne) Per Year of Cooling unit(Thermo King T800)</t>
  </si>
  <si>
    <t>Co2 Tonnes/ year</t>
  </si>
  <si>
    <t>Fuel Consumption Over 5 Years of cooling unit(Thermo King T800)</t>
  </si>
  <si>
    <t>litres over 5 years</t>
  </si>
  <si>
    <t>Diesel Carbon Emission (Tonne) Over 5 Years of Cooling unit(Thermo King T800)</t>
  </si>
  <si>
    <t>Co2 Tonnes/ 5 years</t>
  </si>
  <si>
    <t>Diesel Carbon Emission (Tonne) Savings Per Year after using Solar Cooling Unit</t>
  </si>
  <si>
    <t>Fuel Savings Per Annum after using Dehumidifier Technology</t>
  </si>
  <si>
    <t>Diesel Carbon Emission Savings (Tonnes) Over 5 Years After Dehumidifier Intervention</t>
  </si>
  <si>
    <t xml:space="preserve">Daily Fuel Savings after using Dehumidifier Technology </t>
  </si>
  <si>
    <t xml:space="preserve">Percentage of Fuel Savings Per Annum after using Dehumidifier Technology </t>
  </si>
  <si>
    <t xml:space="preserve">Diesel Carbon Emission (Tonne) Savings Per Year after using Dehumidifier Technology </t>
  </si>
  <si>
    <t>Grand Total</t>
  </si>
  <si>
    <t>Electric Energy Savings Over 5 years</t>
  </si>
  <si>
    <t>Carbon Emission Savings Over 5 years</t>
  </si>
  <si>
    <t>Electricity Grid</t>
  </si>
  <si>
    <t>Carbon Emissions</t>
  </si>
  <si>
    <t>ELECTRICITY CONSUMPTION OVER 5 YEARS</t>
  </si>
  <si>
    <t>CARBON EMISSIONS OVER 5 YEARS</t>
  </si>
  <si>
    <t>Kilo Watts</t>
  </si>
  <si>
    <t>Tonnes</t>
  </si>
  <si>
    <t>Off Grid</t>
  </si>
  <si>
    <t>Savings</t>
  </si>
  <si>
    <t xml:space="preserve">ELECTRICITY SAVINGS OVER 5 YEARS                        </t>
  </si>
  <si>
    <t>CARBON EMISSIONS SAVINGS OVER 5 YEARS</t>
  </si>
  <si>
    <t>value</t>
  </si>
  <si>
    <t xml:space="preserve">
</t>
  </si>
  <si>
    <t>Capacity of Sanden SNH-0605 Chest Freezer</t>
  </si>
  <si>
    <t>litres</t>
  </si>
  <si>
    <t>Product Specifications</t>
  </si>
  <si>
    <t>Power Input of Sanden SNH-0605 Chest Freezer</t>
  </si>
  <si>
    <t>watts</t>
  </si>
  <si>
    <t>Electricity Consumption Per Hour of Sanden SNH-0605 Chest Freezer</t>
  </si>
  <si>
    <t>kW/hr</t>
  </si>
  <si>
    <t>Electricity Consumption Per Day of Sanden SNH-0605 Chest Freezer</t>
  </si>
  <si>
    <t>kW/day</t>
  </si>
  <si>
    <t>Electricity Consumption Per Year of Sanden SNH-0605 Chest Freezer</t>
  </si>
  <si>
    <t>kW/year</t>
  </si>
  <si>
    <t>Ghana's Carbon Emisson Factor for Electricity</t>
  </si>
  <si>
    <t>kgCo2/kWh</t>
  </si>
  <si>
    <t>Ghana Grid Mix</t>
  </si>
  <si>
    <t>kg-Tonne</t>
  </si>
  <si>
    <t>Carbon Emission (CO2e) Per Year of Sanden SNH-0605 Chest Freezer</t>
  </si>
  <si>
    <t>Tonnes/Yr</t>
  </si>
  <si>
    <t>kW/ 5 years</t>
  </si>
  <si>
    <t>Tonnes/5 years</t>
  </si>
  <si>
    <t>Solar Chest Freezers Off-Grid Consumption</t>
  </si>
  <si>
    <t>Solar Chest Freezers Off-Grid Carbon Emissions</t>
  </si>
  <si>
    <t>Reefer Replacement &amp; Cold Storage</t>
  </si>
  <si>
    <t>Number of Old Refrigerated Containers</t>
  </si>
  <si>
    <t>Refrigerant Average Annual Leakage of Client's Reefer Containers (Grams) Over 5 Years</t>
  </si>
  <si>
    <t>Refrigerant Carbon Emission (Tonnes) of Client's Reefer Containers Over 5 Years</t>
  </si>
  <si>
    <t>Cold Room Intervention</t>
  </si>
  <si>
    <t>Cold Room Size (Square Meters)</t>
  </si>
  <si>
    <t>Refrigerant Average Annual Leakage Savings In Percentage After Cold Room Intervention</t>
  </si>
  <si>
    <t>Refrigerant Carbon Emission Savings (Tonnes) After Cold Room Intervention Over 5 Years</t>
  </si>
  <si>
    <t>Electricity Consumption on National Grid (KW) Over 5 Years</t>
  </si>
  <si>
    <t>Cold Room Carbon Emission (Tonnes) Over 5 Years</t>
  </si>
  <si>
    <t>Solar + Battery Intervention</t>
  </si>
  <si>
    <t>Carbon Emission Savings in Percentage after Solar + Battery Intervention</t>
  </si>
  <si>
    <t>Carbon Emission Savings (Tonnes) Over 5 Years After Solar + Battery Intervention</t>
  </si>
  <si>
    <t>Post Harvest Food Loss</t>
  </si>
  <si>
    <t>Horticulture Produce (Tonnes) Per Year</t>
  </si>
  <si>
    <t>Post Harvest Loss In Percentage</t>
  </si>
  <si>
    <t>Carbon Emission of Client's Horticulture Post Harvest Loss Over 5 Years</t>
  </si>
  <si>
    <t>Horticulure Produce (Tonnes) Per Year</t>
  </si>
  <si>
    <t>Post Harvest Loss Savings In Percentage After Cold Room Intervention</t>
  </si>
  <si>
    <t>Carbon Emission Savings (Tonnes) of Client's Horticulture Post Harvest Loss Over 5 Years</t>
  </si>
  <si>
    <t>Cold Storage</t>
  </si>
  <si>
    <t>Storage (Cold Room) Assumption</t>
  </si>
  <si>
    <t>Item</t>
  </si>
  <si>
    <t>Value</t>
  </si>
  <si>
    <t xml:space="preserve">Source </t>
  </si>
  <si>
    <t>Proposed Cold Room Size for Client</t>
  </si>
  <si>
    <t>sq. m.</t>
  </si>
  <si>
    <t>Cold Room Temperature for Fruit and Vegetables</t>
  </si>
  <si>
    <t>0 - 5</t>
  </si>
  <si>
    <t>° C</t>
  </si>
  <si>
    <t>Cold Room Energy Consumption</t>
  </si>
  <si>
    <t>Hourly Electricity Consumption of Cold Room Size</t>
  </si>
  <si>
    <t>kW/h</t>
  </si>
  <si>
    <t>Cold Room Operating Hours Per Day</t>
  </si>
  <si>
    <t xml:space="preserve">Number of Days Per Week of Operating Cold Room </t>
  </si>
  <si>
    <t>Electricity Consumption Per Day of Client's Cold Room</t>
  </si>
  <si>
    <t>kW/D</t>
  </si>
  <si>
    <t>Electricity Consumption Per Year of Client's Cold Room</t>
  </si>
  <si>
    <t>kW/Yr</t>
  </si>
  <si>
    <t>Cold Room On National Electricity Grid</t>
  </si>
  <si>
    <t>Client's Old Reefers</t>
  </si>
  <si>
    <t>Post Harvest Loss After Cold Room</t>
  </si>
  <si>
    <t xml:space="preserve">Carbon Emission (CO2e) Per Year of Client's Cold Room </t>
  </si>
  <si>
    <t>Tonnes/ Yr</t>
  </si>
  <si>
    <t>Client's Old Reefers After Cold Room</t>
  </si>
  <si>
    <t>Carbon Emission (CO2e) Savings in Percentage after Solar + Battery Intervention</t>
  </si>
  <si>
    <t>Cold Room After Solar + Battery (Off-Grid)</t>
  </si>
  <si>
    <t>Carbon Emission (CO2e) Savings Per Year After Solar + Battery Intervention</t>
  </si>
  <si>
    <t>Electricity Consumption of Client's Cold Room Over 5 Years</t>
  </si>
  <si>
    <t>kW/ 5 Yrs</t>
  </si>
  <si>
    <t>Carbon Emission (CO2e) Over 5 Years of Client's Cold Room Size</t>
  </si>
  <si>
    <t>Tonnes/5 Yrs</t>
  </si>
  <si>
    <t>Storage (Reefer Container) Assumption</t>
  </si>
  <si>
    <t>Refrigerant Carbon Emission (Tonnes) Savings After Cold Room Intervention Over 5 Years</t>
  </si>
  <si>
    <t>Number of Reefer Containers the Client has Currently</t>
  </si>
  <si>
    <t>Most widely Used Refrigerant in Reefer Containers</t>
  </si>
  <si>
    <t>HFC (R-134a)</t>
  </si>
  <si>
    <t>Refrigerant in Reefer</t>
  </si>
  <si>
    <t>Global Warming Potential (GWP) of HFC (R-134a)</t>
  </si>
  <si>
    <t>GWP</t>
  </si>
  <si>
    <t>Refrigerant Charge of HFC (R-134a)</t>
  </si>
  <si>
    <t>Grams</t>
  </si>
  <si>
    <t>Refrigerant Charge</t>
  </si>
  <si>
    <t>End-of-life Average Annual Leakage of Refrigerant Charge</t>
  </si>
  <si>
    <t>Average Annual Leakage</t>
  </si>
  <si>
    <t>Number of Times A Refrigerant is Charged in a Year</t>
  </si>
  <si>
    <t>per yr</t>
  </si>
  <si>
    <t>Refrigerant (HFC R-134a) Leakage per Reefer per Year</t>
  </si>
  <si>
    <t>Grams/Yr</t>
  </si>
  <si>
    <t>Refrigerant (HFC R-134a) Leakage per Year of Client's Reefers</t>
  </si>
  <si>
    <t>Grams CO₂e/Yr</t>
  </si>
  <si>
    <t>Refrigerant (HFC R-134a) Leakage of Client's Reefers Over 5 Years</t>
  </si>
  <si>
    <t>Grams/ 5 Yrs</t>
  </si>
  <si>
    <t>Conversion to CO₂e equivalent emission Per Year using GWP</t>
  </si>
  <si>
    <t>Conversion to CO₂e equivalent emission Over 5 Years using GWP</t>
  </si>
  <si>
    <t>Grams CO₂e/5 Yrs</t>
  </si>
  <si>
    <t>Conversion of CO₂e equivalent emission In Grams to Tonnes Per Year</t>
  </si>
  <si>
    <t>Conversion of CO₂e equivalent emission In Grams to Tonnes Over 5 Years</t>
  </si>
  <si>
    <t>Refrigerant Carbon Emission (CO2e) Savings After Cold Room Intervention Per Year</t>
  </si>
  <si>
    <t>Post Harvest Food Loss Assumption</t>
  </si>
  <si>
    <t>Horticulture Post-Harvest Loss Carbon Emission (Tonnes) Savings After Cold Room Intervention Over 5 Years</t>
  </si>
  <si>
    <t>Client's Harvest Cycle Per Year</t>
  </si>
  <si>
    <t>Per Yr</t>
  </si>
  <si>
    <t>Horticulture Produce of Client's Export Per Harvest Cycle</t>
  </si>
  <si>
    <t>Horticulture Produce of Client's Export Per Year</t>
  </si>
  <si>
    <t>Horticulture Post-Harvest Loss Percentage In Ghana</t>
  </si>
  <si>
    <t xml:space="preserve">Post-harvest Losses of Agricultural Produce </t>
  </si>
  <si>
    <t>Estimated Horticulture Post Harvest Loss of Client Per Year</t>
  </si>
  <si>
    <t>Carbon Emission (CO2e) tonne Per 1 metric ton of Food Waste</t>
  </si>
  <si>
    <t>Food Waste Methane Report</t>
  </si>
  <si>
    <t xml:space="preserve">Conversion Rate of Tonne to Metric Ton </t>
  </si>
  <si>
    <t>Metric Tons/ Yr</t>
  </si>
  <si>
    <t>Carbon Emission (CO2e) of Client's Horticulture Post Harvest Loss Per Year</t>
  </si>
  <si>
    <t>Carbon Emission (CO2e) Savings of Client's Horticulture Post Harvest Loss Per Year</t>
  </si>
  <si>
    <t>Carbon Emission (CO2e) of Client's Horticulture Post Harvest Loss Over 5 Years</t>
  </si>
  <si>
    <t xml:space="preserve">Cold Room Size  </t>
  </si>
  <si>
    <t>Electricity Consumption Per Hour of Client's Cold Room</t>
  </si>
  <si>
    <t>Cold Room On National Grid</t>
  </si>
  <si>
    <t xml:space="preserve">A company currently operates 2,000 Sanden SNH-0605 chest freezers, 
consuming 837,200 kWh of electricity over a 5-year period. 
This energy usage results in 508 tonnes of CO₂ emissions based 
on Ghana’s carbon emission factor for electricity (0.55 kgCO₂/kWh).
Switching to solar-powered chest freezers (Ecofreeze ULTRA), 
which require no electricity from the grid, would result in 100% electricity 
savings. Over 5 years, this would eliminate the 837,200 kWh of electricity 
consumption and prevent the emission of 508 tonnes of CO₂.
</t>
  </si>
  <si>
    <t>Conventional Chest Freezers</t>
  </si>
  <si>
    <t>Conventional Chest Freezers Electricity Consumption</t>
  </si>
  <si>
    <t>Conventional Chest Freezers Carbon Emissions</t>
  </si>
  <si>
    <t>Carbon Emission (CO2e) Savings Over 5 Years of Solar Chest Freezer</t>
  </si>
  <si>
    <t>Electricity Savings Over 5 Years of Solar Chest Freezers</t>
  </si>
  <si>
    <t xml:space="preserve">Carbon Emission (CO2e) Savings Per Year of Solar Chest Freezers </t>
  </si>
  <si>
    <t>Electricity Consumption Over 5 Years of Conventional Chest Freezers</t>
  </si>
  <si>
    <t>Carbon Emission (CO2e) Over 5 Years of Conventional Chest Freezers</t>
  </si>
  <si>
    <t xml:space="preserve">Electricity Savings Per Year of Solar Chest Freezers </t>
  </si>
  <si>
    <t xml:space="preserve">Electricity Savings Per Year of Solar Chest Freezer </t>
  </si>
  <si>
    <t xml:space="preserve">Electricity Savings Percentage of Solar Chest Freezer </t>
  </si>
  <si>
    <t>Carbon Emission (CO2e) Per Year of Conventional Chest Freezers</t>
  </si>
  <si>
    <t>Number of Conventional Chest Freezers</t>
  </si>
  <si>
    <t>Electricity Consumption Per Year of Conventional Chest Freezers</t>
  </si>
  <si>
    <t>Horticulture Project 1</t>
  </si>
  <si>
    <t>Horticulture Project 2</t>
  </si>
  <si>
    <t>Horticulture Project 3</t>
  </si>
  <si>
    <t>INTERVENTIONS</t>
  </si>
  <si>
    <t>The Interventions focus on reducing carbon emissions 
through various sustainable cooling and logistics solutions. 
Their initiatives include old reefer replacements, solar + battery-powered
cold rooms and chest freezers, post-harvest loss reduction, 
and dehumidifiers for haulage. Over a 5-year period, these 
interventions have resulted in a total carbon emission savings
of 7,016 tonnes, with the largest savings from solar + battery cold rooms 
(2,424 tonnes) and post-harvest loss reduction (1,659 tonnes).</t>
  </si>
  <si>
    <t>The interventions focus on reducing carbon emissions 
through various sustainable cooling and logistics solutions. 
Their initiatives include old reefer replacements, solar + battery-powered
cold rooms and chest freezers, post-harvest loss reduction, 
and dehumidifiers for haulage. Over a 5-year period, these 
interventions have resulted in a total carbon emission savings
of 7,016 tonnes, with the largest savings from solar + battery cold rooms 
(2,424 tonnes) and post-harvest loss reduction (1,659 tonnes).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</si>
</sst>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#,##0.0"/>
    <numFmt numFmtId="167" formatCode="[$GHS]#,##0.00"/>
    <numFmt numFmtId="168" formatCode="[$GHS]#,##0"/>
    <numFmt numFmtId="169" formatCode="#,##0.0000"/>
  </numFmts>
  <fonts count="34">
    <font>
      <sz val="10"/>
      <color rgb="FF000000"/>
      <name val="Arial"/>
      <scheme val="minor"/>
    </font>
    <font>
      <b/>
      <sz val="11"/>
      <color theme="1"/>
      <name val="Helvetica Neue"/>
    </font>
    <font>
      <b/>
      <sz val="10"/>
      <color theme="1"/>
      <name val="Helvetica Neue"/>
    </font>
    <font>
      <sz val="10"/>
      <color theme="1"/>
      <name val="Helvetica Neue"/>
    </font>
    <font>
      <sz val="12"/>
      <color rgb="FFFFFFFF"/>
      <name val="Helvetica Neue"/>
    </font>
    <font>
      <sz val="12"/>
      <color rgb="FF000000"/>
      <name val="Helvetica Neue"/>
    </font>
    <font>
      <sz val="11"/>
      <color theme="1"/>
      <name val="Helvetica Neue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Helvetica Neue"/>
    </font>
    <font>
      <sz val="14"/>
      <color theme="1"/>
      <name val="Helvetica Neue"/>
    </font>
    <font>
      <b/>
      <sz val="10"/>
      <color theme="1"/>
      <name val="Helvetica Neue"/>
    </font>
    <font>
      <sz val="8"/>
      <color theme="1"/>
      <name val="Helvetica Neue"/>
    </font>
    <font>
      <sz val="9"/>
      <color theme="1"/>
      <name val="Helvetica Neue"/>
    </font>
    <font>
      <b/>
      <sz val="19"/>
      <color theme="1"/>
      <name val="Helvetica Neue"/>
    </font>
    <font>
      <b/>
      <sz val="10"/>
      <color rgb="FFFF0000"/>
      <name val="Helvetica Neue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color rgb="FFFFFFFF"/>
      <name val="Helvetica Neue"/>
    </font>
    <font>
      <sz val="10"/>
      <color rgb="FFFFFFFF"/>
      <name val="Arial"/>
      <scheme val="minor"/>
    </font>
    <font>
      <sz val="10"/>
      <color theme="1"/>
      <name val="Arial"/>
    </font>
    <font>
      <u/>
      <sz val="10"/>
      <color rgb="FF0000FF"/>
      <name val="Helvetica Neue"/>
    </font>
    <font>
      <sz val="10"/>
      <color theme="1"/>
      <name val="Helvetica Neue"/>
    </font>
    <font>
      <sz val="10"/>
      <color rgb="FF222222"/>
      <name val="Helvetica Neue"/>
    </font>
    <font>
      <sz val="10"/>
      <color rgb="FF000000"/>
      <name val="Helvetica Neue"/>
    </font>
    <font>
      <u/>
      <sz val="10"/>
      <color rgb="FF0000FF"/>
      <name val="Helvetica Neue"/>
    </font>
    <font>
      <u/>
      <sz val="10"/>
      <color rgb="FF1155CC"/>
      <name val="Helvetica Neue"/>
    </font>
    <font>
      <u/>
      <sz val="10"/>
      <color rgb="FF0000FF"/>
      <name val="Helvetica Neue"/>
    </font>
    <font>
      <b/>
      <sz val="16"/>
      <color theme="1"/>
      <name val="Helvetica Neue"/>
    </font>
    <font>
      <b/>
      <sz val="18"/>
      <color theme="1"/>
      <name val="Helvetica Neue"/>
    </font>
    <font>
      <sz val="10"/>
      <name val="Arial"/>
      <family val="2"/>
    </font>
    <font>
      <b/>
      <sz val="15"/>
      <color theme="1"/>
      <name val="Helvetica Neue"/>
    </font>
    <font>
      <sz val="8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8" fillId="0" borderId="0" xfId="0" applyFont="1" applyAlignment="1"/>
    <xf numFmtId="0" fontId="6" fillId="0" borderId="0" xfId="0" applyFont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/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2" fillId="0" borderId="0" xfId="0" applyFont="1" applyAlignment="1">
      <alignment wrapText="1"/>
    </xf>
    <xf numFmtId="3" fontId="14" fillId="0" borderId="1" xfId="0" applyNumberFormat="1" applyFont="1" applyBorder="1" applyAlignment="1">
      <alignment horizontal="center"/>
    </xf>
    <xf numFmtId="3" fontId="14" fillId="3" borderId="1" xfId="0" applyNumberFormat="1" applyFont="1" applyFill="1" applyBorder="1" applyAlignment="1">
      <alignment horizontal="center"/>
    </xf>
    <xf numFmtId="0" fontId="8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wrapText="1"/>
    </xf>
    <xf numFmtId="3" fontId="3" fillId="0" borderId="6" xfId="0" applyNumberFormat="1" applyFont="1" applyBorder="1" applyAlignment="1">
      <alignment horizontal="left"/>
    </xf>
    <xf numFmtId="3" fontId="3" fillId="0" borderId="1" xfId="0" applyNumberFormat="1" applyFont="1" applyBorder="1"/>
    <xf numFmtId="0" fontId="3" fillId="0" borderId="7" xfId="0" applyFont="1" applyBorder="1" applyAlignment="1">
      <alignment wrapText="1"/>
    </xf>
    <xf numFmtId="3" fontId="3" fillId="0" borderId="8" xfId="0" applyNumberFormat="1" applyFont="1" applyBorder="1" applyAlignment="1">
      <alignment horizontal="left"/>
    </xf>
    <xf numFmtId="0" fontId="3" fillId="0" borderId="7" xfId="0" applyFont="1" applyBorder="1" applyAlignment="1"/>
    <xf numFmtId="2" fontId="3" fillId="0" borderId="8" xfId="0" applyNumberFormat="1" applyFont="1" applyBorder="1" applyAlignment="1">
      <alignment horizontal="left"/>
    </xf>
    <xf numFmtId="0" fontId="3" fillId="0" borderId="9" xfId="0" applyFont="1" applyBorder="1" applyAlignment="1"/>
    <xf numFmtId="9" fontId="3" fillId="0" borderId="10" xfId="0" applyNumberFormat="1" applyFont="1" applyBorder="1" applyAlignment="1">
      <alignment horizontal="left"/>
    </xf>
    <xf numFmtId="3" fontId="3" fillId="0" borderId="1" xfId="0" applyNumberFormat="1" applyFont="1" applyBorder="1" applyAlignment="1"/>
    <xf numFmtId="9" fontId="3" fillId="0" borderId="1" xfId="0" applyNumberFormat="1" applyFont="1" applyBorder="1"/>
    <xf numFmtId="0" fontId="3" fillId="0" borderId="1" xfId="0" applyFont="1" applyBorder="1"/>
    <xf numFmtId="0" fontId="16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/>
    <xf numFmtId="0" fontId="8" fillId="0" borderId="1" xfId="0" applyFont="1" applyBorder="1" applyAlignment="1"/>
    <xf numFmtId="3" fontId="17" fillId="3" borderId="1" xfId="0" applyNumberFormat="1" applyFont="1" applyFill="1" applyBorder="1"/>
    <xf numFmtId="0" fontId="16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4" fontId="3" fillId="0" borderId="1" xfId="0" applyNumberFormat="1" applyFont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/>
    <xf numFmtId="0" fontId="18" fillId="2" borderId="4" xfId="0" applyFont="1" applyFill="1" applyBorder="1"/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/>
    <xf numFmtId="0" fontId="3" fillId="0" borderId="8" xfId="0" applyFont="1" applyBorder="1"/>
    <xf numFmtId="0" fontId="18" fillId="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" fontId="18" fillId="2" borderId="8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0" fontId="18" fillId="2" borderId="0" xfId="0" applyNumberFormat="1" applyFont="1" applyFill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12" xfId="0" applyFont="1" applyBorder="1"/>
    <xf numFmtId="0" fontId="19" fillId="4" borderId="0" xfId="0" applyFont="1" applyFill="1" applyAlignment="1"/>
    <xf numFmtId="0" fontId="19" fillId="4" borderId="0" xfId="0" applyFont="1" applyFill="1"/>
    <xf numFmtId="0" fontId="18" fillId="2" borderId="1" xfId="0" applyFont="1" applyFill="1" applyBorder="1" applyAlignment="1"/>
    <xf numFmtId="0" fontId="18" fillId="2" borderId="1" xfId="0" applyFont="1" applyFill="1" applyBorder="1"/>
    <xf numFmtId="0" fontId="2" fillId="0" borderId="0" xfId="0" applyFont="1" applyAlignment="1"/>
    <xf numFmtId="0" fontId="3" fillId="0" borderId="1" xfId="0" applyFont="1" applyBorder="1" applyAlignment="1">
      <alignment horizontal="right"/>
    </xf>
    <xf numFmtId="0" fontId="20" fillId="0" borderId="7" xfId="0" applyFont="1" applyBorder="1" applyAlignment="1"/>
    <xf numFmtId="0" fontId="20" fillId="0" borderId="0" xfId="0" applyFont="1" applyAlignment="1"/>
    <xf numFmtId="0" fontId="20" fillId="0" borderId="0" xfId="0" applyFont="1" applyAlignment="1"/>
    <xf numFmtId="0" fontId="20" fillId="0" borderId="8" xfId="0" applyFont="1" applyBorder="1" applyAlignment="1"/>
    <xf numFmtId="0" fontId="2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6" fillId="0" borderId="0" xfId="0" applyFont="1" applyAlignment="1">
      <alignment wrapText="1"/>
    </xf>
    <xf numFmtId="164" fontId="3" fillId="0" borderId="1" xfId="0" applyNumberFormat="1" applyFont="1" applyBorder="1" applyAlignment="1"/>
    <xf numFmtId="0" fontId="3" fillId="0" borderId="5" xfId="0" applyFont="1" applyBorder="1" applyAlignment="1"/>
    <xf numFmtId="3" fontId="3" fillId="0" borderId="6" xfId="0" applyNumberFormat="1" applyFont="1" applyBorder="1" applyAlignment="1">
      <alignment horizontal="right"/>
    </xf>
    <xf numFmtId="0" fontId="2" fillId="0" borderId="1" xfId="0" applyFont="1" applyBorder="1" applyAlignment="1"/>
    <xf numFmtId="0" fontId="3" fillId="0" borderId="7" xfId="0" applyFont="1" applyBorder="1" applyAlignment="1"/>
    <xf numFmtId="3" fontId="3" fillId="0" borderId="8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3" fillId="0" borderId="9" xfId="0" applyFont="1" applyBorder="1" applyAlignment="1"/>
    <xf numFmtId="3" fontId="3" fillId="0" borderId="10" xfId="0" applyNumberFormat="1" applyFont="1" applyBorder="1" applyAlignment="1">
      <alignment horizontal="right"/>
    </xf>
    <xf numFmtId="10" fontId="3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1" fillId="0" borderId="1" xfId="0" applyFont="1" applyBorder="1" applyAlignment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/>
    <xf numFmtId="1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2" fontId="3" fillId="0" borderId="1" xfId="0" applyNumberFormat="1" applyFont="1" applyBorder="1" applyAlignment="1"/>
    <xf numFmtId="166" fontId="3" fillId="0" borderId="1" xfId="0" applyNumberFormat="1" applyFont="1" applyBorder="1" applyAlignment="1"/>
    <xf numFmtId="10" fontId="3" fillId="0" borderId="1" xfId="0" applyNumberFormat="1" applyFont="1" applyBorder="1"/>
    <xf numFmtId="0" fontId="3" fillId="0" borderId="13" xfId="0" applyFont="1" applyBorder="1" applyAlignment="1">
      <alignment wrapText="1"/>
    </xf>
    <xf numFmtId="2" fontId="3" fillId="0" borderId="13" xfId="0" applyNumberFormat="1" applyFont="1" applyBorder="1"/>
    <xf numFmtId="0" fontId="3" fillId="0" borderId="13" xfId="0" applyFont="1" applyBorder="1" applyAlignment="1">
      <alignment horizontal="right"/>
    </xf>
    <xf numFmtId="0" fontId="3" fillId="0" borderId="13" xfId="0" applyFont="1" applyBorder="1" applyAlignment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167" fontId="3" fillId="0" borderId="0" xfId="0" applyNumberFormat="1" applyFont="1"/>
    <xf numFmtId="0" fontId="3" fillId="0" borderId="0" xfId="0" applyFont="1" applyAlignment="1">
      <alignment horizontal="right"/>
    </xf>
    <xf numFmtId="0" fontId="4" fillId="5" borderId="1" xfId="0" applyFont="1" applyFill="1" applyBorder="1" applyAlignment="1"/>
    <xf numFmtId="3" fontId="18" fillId="5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/>
    <xf numFmtId="167" fontId="3" fillId="0" borderId="0" xfId="0" applyNumberFormat="1" applyFont="1" applyAlignment="1">
      <alignment horizontal="right"/>
    </xf>
    <xf numFmtId="0" fontId="3" fillId="4" borderId="0" xfId="0" applyFont="1" applyFill="1" applyAlignment="1"/>
    <xf numFmtId="0" fontId="3" fillId="0" borderId="0" xfId="0" applyFont="1" applyAlignment="1"/>
    <xf numFmtId="167" fontId="3" fillId="4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3" fillId="4" borderId="0" xfId="0" applyFont="1" applyFill="1" applyAlignment="1"/>
    <xf numFmtId="3" fontId="24" fillId="4" borderId="0" xfId="0" applyNumberFormat="1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13" fillId="0" borderId="0" xfId="0" applyFont="1"/>
    <xf numFmtId="168" fontId="3" fillId="0" borderId="0" xfId="0" applyNumberFormat="1" applyFont="1" applyAlignment="1">
      <alignment horizontal="left"/>
    </xf>
    <xf numFmtId="9" fontId="18" fillId="2" borderId="0" xfId="0" applyNumberFormat="1" applyFont="1" applyFill="1" applyAlignment="1">
      <alignment horizontal="right"/>
    </xf>
    <xf numFmtId="0" fontId="18" fillId="4" borderId="0" xfId="0" applyFont="1" applyFill="1"/>
    <xf numFmtId="9" fontId="18" fillId="2" borderId="0" xfId="0" applyNumberFormat="1" applyFont="1" applyFill="1"/>
    <xf numFmtId="0" fontId="22" fillId="0" borderId="0" xfId="0" applyFont="1"/>
    <xf numFmtId="0" fontId="3" fillId="0" borderId="12" xfId="0" applyFont="1" applyBorder="1" applyAlignment="1"/>
    <xf numFmtId="168" fontId="3" fillId="0" borderId="12" xfId="0" applyNumberFormat="1" applyFont="1" applyBorder="1" applyAlignment="1">
      <alignment horizontal="left"/>
    </xf>
    <xf numFmtId="0" fontId="8" fillId="0" borderId="0" xfId="0" applyFont="1" applyAlignment="1">
      <alignment wrapText="1"/>
    </xf>
    <xf numFmtId="0" fontId="18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/>
    <xf numFmtId="0" fontId="25" fillId="0" borderId="1" xfId="0" applyFont="1" applyBorder="1" applyAlignment="1"/>
    <xf numFmtId="0" fontId="26" fillId="0" borderId="1" xfId="0" applyFont="1" applyBorder="1" applyAlignment="1"/>
    <xf numFmtId="0" fontId="3" fillId="0" borderId="1" xfId="0" applyFont="1" applyBorder="1" applyAlignment="1"/>
    <xf numFmtId="2" fontId="3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16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9" fontId="3" fillId="0" borderId="1" xfId="0" applyNumberFormat="1" applyFont="1" applyBorder="1" applyAlignment="1"/>
    <xf numFmtId="1" fontId="3" fillId="0" borderId="1" xfId="0" applyNumberFormat="1" applyFont="1" applyBorder="1"/>
    <xf numFmtId="0" fontId="3" fillId="0" borderId="1" xfId="0" applyFont="1" applyBorder="1" applyAlignment="1">
      <alignment horizontal="right" wrapText="1"/>
    </xf>
    <xf numFmtId="10" fontId="3" fillId="0" borderId="0" xfId="0" applyNumberFormat="1" applyFont="1"/>
    <xf numFmtId="9" fontId="18" fillId="2" borderId="0" xfId="0" applyNumberFormat="1" applyFont="1" applyFill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18" fillId="2" borderId="11" xfId="0" applyFont="1" applyFill="1" applyBorder="1"/>
    <xf numFmtId="0" fontId="18" fillId="2" borderId="6" xfId="0" applyFont="1" applyFill="1" applyBorder="1"/>
    <xf numFmtId="1" fontId="18" fillId="2" borderId="8" xfId="0" applyNumberFormat="1" applyFont="1" applyFill="1" applyBorder="1" applyAlignment="1">
      <alignment horizontal="center"/>
    </xf>
    <xf numFmtId="0" fontId="3" fillId="0" borderId="4" xfId="0" applyFont="1" applyBorder="1"/>
    <xf numFmtId="0" fontId="18" fillId="2" borderId="0" xfId="0" applyFont="1" applyFill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3" fontId="2" fillId="3" borderId="1" xfId="0" applyNumberFormat="1" applyFont="1" applyFill="1" applyBorder="1"/>
    <xf numFmtId="0" fontId="3" fillId="0" borderId="1" xfId="0" applyFont="1" applyBorder="1" applyAlignment="1"/>
    <xf numFmtId="1" fontId="3" fillId="0" borderId="1" xfId="0" applyNumberFormat="1" applyFont="1" applyBorder="1" applyAlignment="1">
      <alignment horizontal="right"/>
    </xf>
    <xf numFmtId="0" fontId="3" fillId="0" borderId="5" xfId="0" applyFont="1" applyBorder="1" applyAlignment="1"/>
    <xf numFmtId="0" fontId="3" fillId="0" borderId="2" xfId="0" applyFont="1" applyBorder="1" applyAlignment="1"/>
    <xf numFmtId="3" fontId="3" fillId="0" borderId="4" xfId="0" applyNumberFormat="1" applyFont="1" applyBorder="1" applyAlignment="1">
      <alignment horizontal="right"/>
    </xf>
    <xf numFmtId="0" fontId="3" fillId="0" borderId="9" xfId="0" applyFont="1" applyBorder="1" applyAlignment="1"/>
    <xf numFmtId="3" fontId="3" fillId="0" borderId="10" xfId="0" applyNumberFormat="1" applyFont="1" applyBorder="1"/>
    <xf numFmtId="0" fontId="3" fillId="0" borderId="9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9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3" fontId="3" fillId="0" borderId="13" xfId="0" applyNumberFormat="1" applyFont="1" applyBorder="1"/>
    <xf numFmtId="0" fontId="3" fillId="0" borderId="13" xfId="0" applyFont="1" applyBorder="1" applyAlignment="1">
      <alignment horizontal="right"/>
    </xf>
    <xf numFmtId="0" fontId="3" fillId="0" borderId="13" xfId="0" applyFont="1" applyBorder="1"/>
    <xf numFmtId="3" fontId="3" fillId="0" borderId="11" xfId="0" applyNumberFormat="1" applyFont="1" applyBorder="1"/>
    <xf numFmtId="0" fontId="3" fillId="0" borderId="11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 applyAlignment="1">
      <alignment wrapText="1"/>
    </xf>
    <xf numFmtId="1" fontId="2" fillId="3" borderId="1" xfId="0" applyNumberFormat="1" applyFont="1" applyFill="1" applyBorder="1"/>
    <xf numFmtId="0" fontId="27" fillId="0" borderId="1" xfId="0" applyFont="1" applyBorder="1" applyAlignment="1">
      <alignment wrapText="1"/>
    </xf>
    <xf numFmtId="0" fontId="4" fillId="5" borderId="1" xfId="0" applyFont="1" applyFill="1" applyBorder="1" applyAlignment="1"/>
    <xf numFmtId="3" fontId="18" fillId="5" borderId="1" xfId="0" applyNumberFormat="1" applyFont="1" applyFill="1" applyBorder="1"/>
    <xf numFmtId="3" fontId="18" fillId="5" borderId="14" xfId="0" applyNumberFormat="1" applyFont="1" applyFill="1" applyBorder="1"/>
    <xf numFmtId="1" fontId="3" fillId="0" borderId="6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3" fontId="3" fillId="0" borderId="0" xfId="0" applyNumberFormat="1" applyFont="1"/>
    <xf numFmtId="3" fontId="28" fillId="0" borderId="1" xfId="0" applyNumberFormat="1" applyFont="1" applyBorder="1" applyAlignment="1">
      <alignment horizontal="center"/>
    </xf>
    <xf numFmtId="3" fontId="29" fillId="0" borderId="1" xfId="0" applyNumberFormat="1" applyFont="1" applyBorder="1" applyAlignment="1">
      <alignment horizontal="center"/>
    </xf>
    <xf numFmtId="3" fontId="29" fillId="3" borderId="1" xfId="0" applyNumberFormat="1" applyFont="1" applyFill="1" applyBorder="1" applyAlignment="1">
      <alignment horizontal="center"/>
    </xf>
    <xf numFmtId="3" fontId="31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/>
    <xf numFmtId="0" fontId="3" fillId="0" borderId="5" xfId="0" applyFont="1" applyBorder="1" applyAlignment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7" xfId="0" applyFont="1" applyBorder="1" applyAlignment="1"/>
    <xf numFmtId="0" fontId="3" fillId="0" borderId="0" xfId="0" applyFont="1" applyAlignment="1"/>
    <xf numFmtId="3" fontId="32" fillId="6" borderId="0" xfId="0" applyNumberFormat="1" applyFont="1" applyFill="1" applyAlignment="1"/>
    <xf numFmtId="3" fontId="33" fillId="6" borderId="0" xfId="0" applyNumberFormat="1" applyFont="1" applyFill="1" applyAlignment="1"/>
    <xf numFmtId="0" fontId="2" fillId="0" borderId="1" xfId="0" applyFont="1" applyBorder="1" applyAlignment="1">
      <alignment horizontal="center" wrapText="1"/>
    </xf>
    <xf numFmtId="0" fontId="3" fillId="0" borderId="17" xfId="0" applyFont="1" applyBorder="1" applyAlignment="1"/>
    <xf numFmtId="0" fontId="3" fillId="0" borderId="16" xfId="0" applyFont="1" applyBorder="1"/>
    <xf numFmtId="0" fontId="8" fillId="0" borderId="0" xfId="0" applyFont="1" applyFill="1" applyAlignment="1"/>
    <xf numFmtId="9" fontId="15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30" fillId="0" borderId="3" xfId="0" applyFont="1" applyBorder="1"/>
    <xf numFmtId="0" fontId="30" fillId="0" borderId="4" xfId="0" applyFont="1" applyBorder="1"/>
    <xf numFmtId="0" fontId="2" fillId="0" borderId="0" xfId="0" applyFont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0" borderId="3" xfId="0" applyFont="1" applyBorder="1"/>
    <xf numFmtId="0" fontId="7" fillId="0" borderId="4" xfId="0" applyFont="1" applyBorder="1"/>
    <xf numFmtId="0" fontId="8" fillId="0" borderId="2" xfId="0" applyFont="1" applyBorder="1" applyAlignment="1"/>
    <xf numFmtId="0" fontId="3" fillId="0" borderId="1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13" fillId="0" borderId="16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7" fillId="0" borderId="1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3" fillId="0" borderId="11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8" fillId="2" borderId="2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7" fillId="0" borderId="9" xfId="0" applyFont="1" applyBorder="1"/>
    <xf numFmtId="0" fontId="7" fillId="0" borderId="12" xfId="0" applyFont="1" applyBorder="1"/>
    <xf numFmtId="0" fontId="7" fillId="0" borderId="10" xfId="0" applyFont="1" applyBorder="1"/>
    <xf numFmtId="0" fontId="22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7" xfId="0" applyFont="1" applyBorder="1"/>
    <xf numFmtId="0" fontId="4" fillId="4" borderId="0" xfId="0" applyFont="1" applyFill="1" applyAlignment="1">
      <alignment horizontal="center"/>
    </xf>
    <xf numFmtId="0" fontId="3" fillId="0" borderId="7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/>
    <xf numFmtId="0" fontId="18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Carbon Emission (Tonnes) Over 5 Years: Haulage Truck Using Diesel VS Using Solar Cooling Unit &amp; Dehumidifier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4D-4505-9AD3-056FD0726B62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4D-4505-9AD3-056FD0726B62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4D-4505-9AD3-056FD0726B62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4D-4505-9AD3-056FD0726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FFFFFF"/>
                    </a:solidFill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Haulage-Assumption'!$H$8:$H$10</c:f>
              <c:strCache>
                <c:ptCount val="3"/>
                <c:pt idx="0">
                  <c:v>Diesel</c:v>
                </c:pt>
                <c:pt idx="1">
                  <c:v>Dehumidifier</c:v>
                </c:pt>
                <c:pt idx="2">
                  <c:v>Solar Cooling Unit</c:v>
                </c:pt>
              </c:strCache>
            </c:strRef>
          </c:cat>
          <c:val>
            <c:numRef>
              <c:f>'3. Haulage-Assumption'!$I$8:$I$10</c:f>
              <c:numCache>
                <c:formatCode>#,##0</c:formatCode>
                <c:ptCount val="3"/>
                <c:pt idx="0">
                  <c:v>3104.1328087598395</c:v>
                </c:pt>
                <c:pt idx="1">
                  <c:v>2426.1292168217769</c:v>
                </c:pt>
                <c:pt idx="2">
                  <c:v>1376.1236540858392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34D-4505-9AD3-056FD072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737013"/>
        <c:axId val="2107835313"/>
      </c:barChart>
      <c:catAx>
        <c:axId val="380737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2107835313"/>
        <c:crosses val="autoZero"/>
        <c:auto val="1"/>
        <c:lblAlgn val="ctr"/>
        <c:lblOffset val="100"/>
        <c:noMultiLvlLbl val="1"/>
      </c:catAx>
      <c:valAx>
        <c:axId val="2107835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3807370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Electricity Consumption (kW) Over 5 Years: </a:t>
            </a:r>
          </a:p>
        </c:rich>
      </c:tx>
      <c:layout>
        <c:manualLayout>
          <c:xMode val="edge"/>
          <c:yMode val="edge"/>
          <c:x val="0.27163705986027109"/>
          <c:y val="1.6260162601626018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AD3-4D74-8BD0-E6505DFAE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0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Chest Freezers-Assumption'!$A$28:$A$29</c:f>
              <c:strCache>
                <c:ptCount val="2"/>
                <c:pt idx="0">
                  <c:v>Conventional Chest Freezers Electricity Consumption</c:v>
                </c:pt>
                <c:pt idx="1">
                  <c:v>Solar Chest Freezers Off-Grid Consumption</c:v>
                </c:pt>
              </c:strCache>
            </c:strRef>
          </c:cat>
          <c:val>
            <c:numRef>
              <c:f>'5. Chest Freezers-Assumption'!$B$28:$B$29</c:f>
              <c:numCache>
                <c:formatCode>#,##0</c:formatCode>
                <c:ptCount val="2"/>
                <c:pt idx="0">
                  <c:v>837200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AD3-4D74-8BD0-E6505DFA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214763"/>
        <c:axId val="790149123"/>
      </c:barChart>
      <c:catAx>
        <c:axId val="1887214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790149123"/>
        <c:crosses val="autoZero"/>
        <c:auto val="1"/>
        <c:lblAlgn val="ctr"/>
        <c:lblOffset val="100"/>
        <c:noMultiLvlLbl val="1"/>
      </c:catAx>
      <c:valAx>
        <c:axId val="79014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887214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US" b="1">
                <a:solidFill>
                  <a:schemeClr val="dk1"/>
                </a:solidFill>
                <a:latin typeface="+mn-lt"/>
              </a:rPr>
              <a:t>Carbon Emissions (Tonnes)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113-4896-B6B1-5EBED261B25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113-4896-B6B1-5EBED261B25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400" b="1">
                      <a:solidFill>
                        <a:schemeClr val="tx1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113-4896-B6B1-5EBED261B25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>
                      <a:solidFill>
                        <a:schemeClr val="tx1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113-4896-B6B1-5EBED261B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0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Chest Freezers-Assumption'!$A$32:$A$33</c:f>
              <c:strCache>
                <c:ptCount val="2"/>
                <c:pt idx="0">
                  <c:v>Conventional Chest Freezers Carbon Emissions</c:v>
                </c:pt>
                <c:pt idx="1">
                  <c:v>Solar Chest Freezers Off-Grid Carbon Emissions</c:v>
                </c:pt>
              </c:strCache>
            </c:strRef>
          </c:cat>
          <c:val>
            <c:numRef>
              <c:f>'5. Chest Freezers-Assumption'!$B$32:$B$33</c:f>
              <c:numCache>
                <c:formatCode>#,##0</c:formatCode>
                <c:ptCount val="2"/>
                <c:pt idx="0">
                  <c:v>507.56966260000007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113-4896-B6B1-5EBED261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685893"/>
        <c:axId val="1017720276"/>
      </c:barChart>
      <c:catAx>
        <c:axId val="74068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017720276"/>
        <c:crosses val="autoZero"/>
        <c:auto val="1"/>
        <c:lblAlgn val="ctr"/>
        <c:lblOffset val="100"/>
        <c:noMultiLvlLbl val="1"/>
      </c:catAx>
      <c:valAx>
        <c:axId val="1017720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H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7406858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en-US" sz="1600" b="1">
                <a:solidFill>
                  <a:srgbClr val="000000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4-4B57-87A7-AD78025A1C78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4-4B57-87A7-AD78025A1C78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904-4B57-87A7-AD78025A1C78}"/>
              </c:ext>
            </c:extLst>
          </c:dPt>
          <c:dPt>
            <c:idx val="3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904-4B57-87A7-AD78025A1C78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904-4B57-87A7-AD78025A1C78}"/>
              </c:ext>
            </c:extLst>
          </c:dPt>
          <c:dPt>
            <c:idx val="5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904-4B57-87A7-AD78025A1C7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rgbClr val="FF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04-4B57-87A7-AD78025A1C7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chemeClr val="accent4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904-4B57-87A7-AD78025A1C7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rgbClr val="FF6D01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904-4B57-87A7-AD78025A1C7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904-4B57-87A7-AD78025A1C7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904-4B57-87A7-AD78025A1C7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>
                      <a:solidFill>
                        <a:srgbClr val="FF00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904-4B57-87A7-AD78025A1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FFFFFF"/>
                    </a:solidFill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 Project 1-Assumption'!$J$8:$J$13</c:f>
              <c:strCache>
                <c:ptCount val="6"/>
                <c:pt idx="0">
                  <c:v>Post Harvest Loss</c:v>
                </c:pt>
                <c:pt idx="1">
                  <c:v>Cold Room On National Electricity Grid</c:v>
                </c:pt>
                <c:pt idx="2">
                  <c:v>Client's Old Reefers</c:v>
                </c:pt>
                <c:pt idx="3">
                  <c:v>Post Harvest Loss After Cold Room</c:v>
                </c:pt>
                <c:pt idx="4">
                  <c:v>Client's Old Reefers After Cold Room</c:v>
                </c:pt>
                <c:pt idx="5">
                  <c:v>Cold Room After Solar + Battery (Off-Grid)</c:v>
                </c:pt>
              </c:strCache>
            </c:strRef>
          </c:cat>
          <c:val>
            <c:numRef>
              <c:f>'9. Project 1-Assumption'!$K$8:$K$13</c:f>
              <c:numCache>
                <c:formatCode>#,##0</c:formatCode>
                <c:ptCount val="6"/>
                <c:pt idx="0">
                  <c:v>1421.9799</c:v>
                </c:pt>
                <c:pt idx="1">
                  <c:v>1377.05856288</c:v>
                </c:pt>
                <c:pt idx="2">
                  <c:v>16.216200000000001</c:v>
                </c:pt>
                <c:pt idx="3">
                  <c:v>426.59397000000013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3904-4B57-87A7-AD78025A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625603"/>
        <c:axId val="691027825"/>
      </c:barChart>
      <c:catAx>
        <c:axId val="1668625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Pre- Interventions Vs Post-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691027825"/>
        <c:crosses val="autoZero"/>
        <c:auto val="1"/>
        <c:lblAlgn val="ctr"/>
        <c:lblOffset val="100"/>
        <c:noMultiLvlLbl val="1"/>
      </c:catAx>
      <c:valAx>
        <c:axId val="691027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668625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en-US" sz="1600" b="1">
                <a:solidFill>
                  <a:srgbClr val="000000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72-420C-AE21-CE96F9662ABD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72-420C-AE21-CE96F9662ABD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72-420C-AE21-CE96F9662ABD}"/>
              </c:ext>
            </c:extLst>
          </c:dPt>
          <c:dPt>
            <c:idx val="3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C72-420C-AE21-CE96F9662A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rgbClr val="FF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C72-420C-AE21-CE96F9662ABD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chemeClr val="accent4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C72-420C-AE21-CE96F9662A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C72-420C-AE21-CE96F9662ABD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>
                      <a:solidFill>
                        <a:srgbClr val="FF00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72-420C-AE21-CE96F9662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FFFFFF"/>
                    </a:solidFill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 Project 2-Assumption'!$J$8:$J$11</c:f>
              <c:strCache>
                <c:ptCount val="4"/>
                <c:pt idx="0">
                  <c:v>Post Harvest Loss</c:v>
                </c:pt>
                <c:pt idx="1">
                  <c:v>Cold Room On National Grid</c:v>
                </c:pt>
                <c:pt idx="2">
                  <c:v>Post Harvest Loss After Cold Room</c:v>
                </c:pt>
                <c:pt idx="3">
                  <c:v>Cold Room After Solar + Battery (Off-Grid)</c:v>
                </c:pt>
              </c:strCache>
            </c:strRef>
          </c:cat>
          <c:val>
            <c:numRef>
              <c:f>'10. Project 2-Assumption'!$K$8:$K$11</c:f>
              <c:numCache>
                <c:formatCode>#,##0</c:formatCode>
                <c:ptCount val="4"/>
                <c:pt idx="0" formatCode="0">
                  <c:v>473.99329999999998</c:v>
                </c:pt>
                <c:pt idx="1">
                  <c:v>523.4793284651164</c:v>
                </c:pt>
                <c:pt idx="2" formatCode="0">
                  <c:v>142.19799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C72-420C-AE21-CE96F966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30488"/>
        <c:axId val="2011976993"/>
      </c:barChart>
      <c:catAx>
        <c:axId val="177943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Pre- Interventions Vs Post-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2011976993"/>
        <c:crosses val="autoZero"/>
        <c:auto val="1"/>
        <c:lblAlgn val="ctr"/>
        <c:lblOffset val="100"/>
        <c:noMultiLvlLbl val="1"/>
      </c:catAx>
      <c:valAx>
        <c:axId val="2011976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7794304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chemeClr val="dk1"/>
                </a:solidFill>
                <a:latin typeface="+mn-lt"/>
              </a:defRPr>
            </a:pPr>
            <a:r>
              <a:rPr lang="en-US" sz="1800" b="1">
                <a:solidFill>
                  <a:schemeClr val="dk1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C9-4FBB-8D8F-EE0AACAC5871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C9-4FBB-8D8F-EE0AACAC5871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6C9-4FBB-8D8F-EE0AACAC5871}"/>
              </c:ext>
            </c:extLst>
          </c:dPt>
          <c:dPt>
            <c:idx val="3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46C9-4FBB-8D8F-EE0AACAC5871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C9-4FBB-8D8F-EE0AACAC5871}"/>
              </c:ext>
            </c:extLst>
          </c:dPt>
          <c:dPt>
            <c:idx val="5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46C9-4FBB-8D8F-EE0AACAC587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rgbClr val="FF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6C9-4FBB-8D8F-EE0AACAC587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chemeClr val="accent4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6C9-4FBB-8D8F-EE0AACAC587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rgbClr val="FF6D01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9-4FBB-8D8F-EE0AACAC587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0"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6C9-4FBB-8D8F-EE0AACAC5871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9-4FBB-8D8F-EE0AACAC5871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>
                      <a:solidFill>
                        <a:srgbClr val="FF00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6C9-4FBB-8D8F-EE0AACAC5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FFFFFF"/>
                    </a:solidFill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 Project 3-Assumption'!$J$7:$J$12</c:f>
              <c:strCache>
                <c:ptCount val="6"/>
                <c:pt idx="0">
                  <c:v>Post Harvest Loss</c:v>
                </c:pt>
                <c:pt idx="1">
                  <c:v>Cold Room On National Grid</c:v>
                </c:pt>
                <c:pt idx="2">
                  <c:v>Client's Old Reefers</c:v>
                </c:pt>
                <c:pt idx="3">
                  <c:v>Post Harvest Loss After Cold Room</c:v>
                </c:pt>
                <c:pt idx="4">
                  <c:v>Client's Old Reefers After Cold Room</c:v>
                </c:pt>
                <c:pt idx="5">
                  <c:v>Cold Room After Solar + Battery (Off-Grid)</c:v>
                </c:pt>
              </c:strCache>
            </c:strRef>
          </c:cat>
          <c:val>
            <c:numRef>
              <c:f>'11. Project 3-Assumption'!$K$7:$K$12</c:f>
              <c:numCache>
                <c:formatCode>#,##0</c:formatCode>
                <c:ptCount val="6"/>
                <c:pt idx="0" formatCode="0">
                  <c:v>473.99329999999998</c:v>
                </c:pt>
                <c:pt idx="1">
                  <c:v>523.4793284651164</c:v>
                </c:pt>
                <c:pt idx="2">
                  <c:v>3.6036000000000001</c:v>
                </c:pt>
                <c:pt idx="3" formatCode="0">
                  <c:v>142.19799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46C9-4FBB-8D8F-EE0AACAC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62090"/>
        <c:axId val="2039384315"/>
      </c:barChart>
      <c:catAx>
        <c:axId val="1844562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Pre- Interventions Vs Post-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2039384315"/>
        <c:crosses val="autoZero"/>
        <c:auto val="1"/>
        <c:lblAlgn val="ctr"/>
        <c:lblOffset val="100"/>
        <c:noMultiLvlLbl val="1"/>
      </c:catAx>
      <c:valAx>
        <c:axId val="2039384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8445620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6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10.png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4.xml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10.png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6.xml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361950</xdr:colOff>
      <xdr:row>7</xdr:row>
      <xdr:rowOff>209550</xdr:rowOff>
    </xdr:from>
    <xdr:ext cx="190500" cy="3048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124075" y="2962275"/>
          <a:ext cx="190500" cy="304800"/>
          <a:chOff x="889625" y="194275"/>
          <a:chExt cx="0" cy="4296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3</xdr:col>
      <xdr:colOff>361950</xdr:colOff>
      <xdr:row>7</xdr:row>
      <xdr:rowOff>209550</xdr:rowOff>
    </xdr:from>
    <xdr:ext cx="190500" cy="3048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238500" y="2962275"/>
          <a:ext cx="190500" cy="304800"/>
          <a:chOff x="889625" y="194275"/>
          <a:chExt cx="0" cy="42960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333375</xdr:colOff>
      <xdr:row>7</xdr:row>
      <xdr:rowOff>209550</xdr:rowOff>
    </xdr:from>
    <xdr:ext cx="190500" cy="3048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4371975" y="2962275"/>
          <a:ext cx="190500" cy="304800"/>
          <a:chOff x="889625" y="194275"/>
          <a:chExt cx="0" cy="42960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7</xdr:col>
      <xdr:colOff>342900</xdr:colOff>
      <xdr:row>7</xdr:row>
      <xdr:rowOff>209550</xdr:rowOff>
    </xdr:from>
    <xdr:ext cx="190500" cy="3048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476875" y="2962275"/>
          <a:ext cx="190500" cy="304800"/>
          <a:chOff x="889625" y="194275"/>
          <a:chExt cx="0" cy="42960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9</xdr:col>
      <xdr:colOff>400050</xdr:colOff>
      <xdr:row>7</xdr:row>
      <xdr:rowOff>209550</xdr:rowOff>
    </xdr:from>
    <xdr:ext cx="190500" cy="304800"/>
    <xdr:grpSp>
      <xdr:nvGrpSpPr>
        <xdr:cNvPr id="10" name="Shape 2" title="Drawi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6667500" y="2962275"/>
          <a:ext cx="190500" cy="304800"/>
          <a:chOff x="889625" y="194275"/>
          <a:chExt cx="0" cy="42960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11</xdr:col>
      <xdr:colOff>352425</xdr:colOff>
      <xdr:row>7</xdr:row>
      <xdr:rowOff>209550</xdr:rowOff>
    </xdr:from>
    <xdr:ext cx="190500" cy="304800"/>
    <xdr:grpSp>
      <xdr:nvGrpSpPr>
        <xdr:cNvPr id="12" name="Shape 2" title="Drawi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7781925" y="2962275"/>
          <a:ext cx="190500" cy="304800"/>
          <a:chOff x="889625" y="194275"/>
          <a:chExt cx="0" cy="42960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38100</xdr:colOff>
      <xdr:row>4</xdr:row>
      <xdr:rowOff>133350</xdr:rowOff>
    </xdr:from>
    <xdr:ext cx="190500" cy="361950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 rot="5400000">
          <a:off x="3667125" y="2400300"/>
          <a:ext cx="361950" cy="190500"/>
          <a:chOff x="920300" y="245400"/>
          <a:chExt cx="0" cy="429600"/>
        </a:xfrm>
      </xdr:grpSpPr>
      <xdr:cxnSp macro="">
        <xdr:nvCxnSpPr>
          <xdr:cNvPr id="15" name="Shape 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 rot="10800000">
            <a:off x="920300" y="245400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19050</xdr:rowOff>
    </xdr:from>
    <xdr:ext cx="962025" cy="752475"/>
    <xdr:pic>
      <xdr:nvPicPr>
        <xdr:cNvPr id="16" name="image6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2125" y="1876425"/>
          <a:ext cx="962025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19050</xdr:rowOff>
    </xdr:from>
    <xdr:ext cx="933450" cy="800100"/>
    <xdr:pic>
      <xdr:nvPicPr>
        <xdr:cNvPr id="17" name="image4.pn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550" y="1876425"/>
          <a:ext cx="933450" cy="800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2</xdr:row>
      <xdr:rowOff>19050</xdr:rowOff>
    </xdr:from>
    <xdr:ext cx="923925" cy="733425"/>
    <xdr:pic>
      <xdr:nvPicPr>
        <xdr:cNvPr id="18" name="image5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2</xdr:row>
      <xdr:rowOff>19050</xdr:rowOff>
    </xdr:from>
    <xdr:ext cx="962025" cy="800100"/>
    <xdr:pic>
      <xdr:nvPicPr>
        <xdr:cNvPr id="19" name="image3.pn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2</xdr:row>
      <xdr:rowOff>19050</xdr:rowOff>
    </xdr:from>
    <xdr:ext cx="1019175" cy="733425"/>
    <xdr:pic>
      <xdr:nvPicPr>
        <xdr:cNvPr id="20" name="image2.pn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266700</xdr:colOff>
      <xdr:row>2</xdr:row>
      <xdr:rowOff>19050</xdr:rowOff>
    </xdr:from>
    <xdr:ext cx="962025" cy="800100"/>
    <xdr:pic>
      <xdr:nvPicPr>
        <xdr:cNvPr id="21" name="image3.pn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7</xdr:row>
      <xdr:rowOff>180975</xdr:rowOff>
    </xdr:from>
    <xdr:ext cx="190500" cy="3048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057400" y="2933700"/>
          <a:ext cx="190500" cy="304800"/>
          <a:chOff x="889625" y="194275"/>
          <a:chExt cx="0" cy="4296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3</xdr:col>
      <xdr:colOff>361950</xdr:colOff>
      <xdr:row>7</xdr:row>
      <xdr:rowOff>180975</xdr:rowOff>
    </xdr:from>
    <xdr:ext cx="190500" cy="3048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238500" y="2933700"/>
          <a:ext cx="190500" cy="304800"/>
          <a:chOff x="889625" y="194275"/>
          <a:chExt cx="0" cy="42960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333375</xdr:colOff>
      <xdr:row>7</xdr:row>
      <xdr:rowOff>180975</xdr:rowOff>
    </xdr:from>
    <xdr:ext cx="190500" cy="3048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4333875" y="2933700"/>
          <a:ext cx="190500" cy="304800"/>
          <a:chOff x="889625" y="194275"/>
          <a:chExt cx="0" cy="42960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889625" y="194275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38100</xdr:colOff>
      <xdr:row>4</xdr:row>
      <xdr:rowOff>104774</xdr:rowOff>
    </xdr:from>
    <xdr:ext cx="190500" cy="36195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 rot="5194801">
          <a:off x="3667125" y="2371724"/>
          <a:ext cx="361950" cy="190500"/>
          <a:chOff x="920300" y="245400"/>
          <a:chExt cx="0" cy="4296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rot="10800000">
            <a:off x="920300" y="245400"/>
            <a:ext cx="0" cy="42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0</xdr:col>
      <xdr:colOff>1990725</xdr:colOff>
      <xdr:row>2</xdr:row>
      <xdr:rowOff>19050</xdr:rowOff>
    </xdr:from>
    <xdr:ext cx="962025" cy="800100"/>
    <xdr:pic>
      <xdr:nvPicPr>
        <xdr:cNvPr id="10" name="image6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</xdr:colOff>
      <xdr:row>2</xdr:row>
      <xdr:rowOff>19050</xdr:rowOff>
    </xdr:from>
    <xdr:ext cx="885824" cy="800100"/>
    <xdr:pic>
      <xdr:nvPicPr>
        <xdr:cNvPr id="11" name="image4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551" y="1876425"/>
          <a:ext cx="885824" cy="800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2</xdr:row>
      <xdr:rowOff>19050</xdr:rowOff>
    </xdr:from>
    <xdr:ext cx="923925" cy="733425"/>
    <xdr:pic>
      <xdr:nvPicPr>
        <xdr:cNvPr id="12" name="image5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76199</xdr:colOff>
      <xdr:row>0</xdr:row>
      <xdr:rowOff>57150</xdr:rowOff>
    </xdr:from>
    <xdr:ext cx="5229225" cy="2733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1104900</xdr:colOff>
      <xdr:row>21</xdr:row>
      <xdr:rowOff>38100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1371600" y="4238625"/>
          <a:ext cx="1885950" cy="190500"/>
          <a:chOff x="224975" y="950975"/>
          <a:chExt cx="2525700" cy="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21</xdr:row>
      <xdr:rowOff>38100</xdr:rowOff>
    </xdr:from>
    <xdr:ext cx="1885950" cy="1905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3848100" y="4238625"/>
          <a:ext cx="1885950" cy="190500"/>
          <a:chOff x="224975" y="950975"/>
          <a:chExt cx="2525700" cy="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1162050</xdr:colOff>
      <xdr:row>5</xdr:row>
      <xdr:rowOff>57150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1371600" y="1057275"/>
          <a:ext cx="1885950" cy="190500"/>
          <a:chOff x="224975" y="950975"/>
          <a:chExt cx="2525700" cy="0"/>
        </a:xfrm>
      </xdr:grpSpPr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5</xdr:row>
      <xdr:rowOff>57150</xdr:rowOff>
    </xdr:from>
    <xdr:ext cx="1924050" cy="1905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48100" y="1057275"/>
          <a:ext cx="1924050" cy="190500"/>
          <a:chOff x="224975" y="950975"/>
          <a:chExt cx="2525700" cy="0"/>
        </a:xfrm>
      </xdr:grpSpPr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1085850</xdr:colOff>
      <xdr:row>13</xdr:row>
      <xdr:rowOff>57150</xdr:rowOff>
    </xdr:from>
    <xdr:ext cx="19240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1371600" y="2657475"/>
          <a:ext cx="1924050" cy="190500"/>
          <a:chOff x="224975" y="950975"/>
          <a:chExt cx="2525700" cy="0"/>
        </a:xfrm>
      </xdr:grpSpPr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13</xdr:row>
      <xdr:rowOff>76200</xdr:rowOff>
    </xdr:from>
    <xdr:ext cx="1924050" cy="1905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857625" y="2676525"/>
          <a:ext cx="1924050" cy="190500"/>
          <a:chOff x="224975" y="950975"/>
          <a:chExt cx="2525700" cy="0"/>
        </a:xfrm>
      </xdr:grpSpPr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152400</xdr:colOff>
      <xdr:row>20</xdr:row>
      <xdr:rowOff>38100</xdr:rowOff>
    </xdr:from>
    <xdr:ext cx="647700" cy="590550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4</xdr:row>
      <xdr:rowOff>19050</xdr:rowOff>
    </xdr:from>
    <xdr:ext cx="600075" cy="590550"/>
    <xdr:pic>
      <xdr:nvPicPr>
        <xdr:cNvPr id="16" name="image1.png" title="Imag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11</xdr:row>
      <xdr:rowOff>561975</xdr:rowOff>
    </xdr:from>
    <xdr:ext cx="600075" cy="590550"/>
    <xdr:pic>
      <xdr:nvPicPr>
        <xdr:cNvPr id="17" name="image1.png" title="Image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4</xdr:row>
      <xdr:rowOff>19050</xdr:rowOff>
    </xdr:from>
    <xdr:ext cx="895350" cy="733425"/>
    <xdr:pic>
      <xdr:nvPicPr>
        <xdr:cNvPr id="18" name="image8.png" title="Image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11</xdr:row>
      <xdr:rowOff>504825</xdr:rowOff>
    </xdr:from>
    <xdr:ext cx="866775" cy="666750"/>
    <xdr:pic>
      <xdr:nvPicPr>
        <xdr:cNvPr id="19" name="image8.png" title="Image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4</xdr:row>
      <xdr:rowOff>19050</xdr:rowOff>
    </xdr:from>
    <xdr:ext cx="733425" cy="666750"/>
    <xdr:pic>
      <xdr:nvPicPr>
        <xdr:cNvPr id="20" name="image10.png" title="Image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12</xdr:row>
      <xdr:rowOff>95250</xdr:rowOff>
    </xdr:from>
    <xdr:ext cx="733425" cy="590550"/>
    <xdr:pic>
      <xdr:nvPicPr>
        <xdr:cNvPr id="21" name="image7.png" title="Image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81350" y="2495550"/>
          <a:ext cx="7334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20</xdr:row>
      <xdr:rowOff>38100</xdr:rowOff>
    </xdr:from>
    <xdr:ext cx="647700" cy="666750"/>
    <xdr:pic>
      <xdr:nvPicPr>
        <xdr:cNvPr id="22" name="image9.png" title="Image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19</xdr:row>
      <xdr:rowOff>466725</xdr:rowOff>
    </xdr:from>
    <xdr:ext cx="866775" cy="666750"/>
    <xdr:pic>
      <xdr:nvPicPr>
        <xdr:cNvPr id="23" name="image8.png" title="Image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152400</xdr:rowOff>
    </xdr:from>
    <xdr:ext cx="5915025" cy="31242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542925</xdr:colOff>
      <xdr:row>16</xdr:row>
      <xdr:rowOff>161925</xdr:rowOff>
    </xdr:from>
    <xdr:ext cx="5715000" cy="31242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781051</xdr:colOff>
      <xdr:row>3</xdr:row>
      <xdr:rowOff>47624</xdr:rowOff>
    </xdr:from>
    <xdr:ext cx="2609850" cy="161925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1619251" y="647699"/>
          <a:ext cx="2609850" cy="161925"/>
          <a:chOff x="235200" y="593075"/>
          <a:chExt cx="3016500" cy="0"/>
        </a:xfrm>
      </xdr:grpSpPr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CxnSpPr/>
        </xdr:nvCxnSpPr>
        <xdr:spPr>
          <a:xfrm>
            <a:off x="235200" y="5930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</xdr:col>
      <xdr:colOff>781050</xdr:colOff>
      <xdr:row>11</xdr:row>
      <xdr:rowOff>85725</xdr:rowOff>
    </xdr:from>
    <xdr:ext cx="2581275" cy="1524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1619250" y="2286000"/>
          <a:ext cx="2581275" cy="152400"/>
          <a:chOff x="235200" y="593075"/>
          <a:chExt cx="3016500" cy="0"/>
        </a:xfrm>
      </xdr:grpSpPr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CxnSpPr/>
        </xdr:nvCxnSpPr>
        <xdr:spPr>
          <a:xfrm>
            <a:off x="235200" y="5930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5</xdr:col>
      <xdr:colOff>647700</xdr:colOff>
      <xdr:row>9</xdr:row>
      <xdr:rowOff>190500</xdr:rowOff>
    </xdr:from>
    <xdr:ext cx="714375" cy="790575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4219575" y="1990725"/>
          <a:ext cx="714375" cy="790575"/>
          <a:chOff x="685050" y="409025"/>
          <a:chExt cx="695400" cy="766800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CxnSpPr/>
        </xdr:nvCxnSpPr>
        <xdr:spPr>
          <a:xfrm flipH="1">
            <a:off x="685050" y="409025"/>
            <a:ext cx="695400" cy="766800"/>
          </a:xfrm>
          <a:prstGeom prst="straightConnector1">
            <a:avLst/>
          </a:prstGeom>
          <a:noFill/>
          <a:ln w="1905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9</xdr:col>
      <xdr:colOff>571500</xdr:colOff>
      <xdr:row>3</xdr:row>
      <xdr:rowOff>0</xdr:rowOff>
    </xdr:from>
    <xdr:ext cx="2676525" cy="1524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6819900" y="600075"/>
          <a:ext cx="2676525" cy="152400"/>
          <a:chOff x="387600" y="745475"/>
          <a:chExt cx="3016500" cy="0"/>
        </a:xfrm>
      </xdr:grpSpPr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CxnSpPr/>
        </xdr:nvCxnSpPr>
        <xdr:spPr>
          <a:xfrm>
            <a:off x="387600" y="7454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19050</xdr:colOff>
      <xdr:row>11</xdr:row>
      <xdr:rowOff>66674</xdr:rowOff>
    </xdr:from>
    <xdr:ext cx="2371725" cy="180975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7048500" y="2266949"/>
          <a:ext cx="2371725" cy="180975"/>
          <a:chOff x="387600" y="745475"/>
          <a:chExt cx="3016500" cy="0"/>
        </a:xfrm>
      </xdr:grpSpPr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CxnSpPr/>
        </xdr:nvCxnSpPr>
        <xdr:spPr>
          <a:xfrm>
            <a:off x="387600" y="745475"/>
            <a:ext cx="3016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0</xdr:col>
      <xdr:colOff>571500</xdr:colOff>
      <xdr:row>2</xdr:row>
      <xdr:rowOff>57150</xdr:rowOff>
    </xdr:from>
    <xdr:ext cx="847725" cy="685800"/>
    <xdr:pic>
      <xdr:nvPicPr>
        <xdr:cNvPr id="9" name="image11.png" title="Imag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1500" y="457200"/>
          <a:ext cx="847725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723900</xdr:colOff>
      <xdr:row>2</xdr:row>
      <xdr:rowOff>47625</xdr:rowOff>
    </xdr:from>
    <xdr:ext cx="771525" cy="685800"/>
    <xdr:pic>
      <xdr:nvPicPr>
        <xdr:cNvPr id="10" name="image14.png" title="Image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95775" y="447675"/>
          <a:ext cx="771525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10</xdr:row>
      <xdr:rowOff>47625</xdr:rowOff>
    </xdr:from>
    <xdr:ext cx="771525" cy="676275"/>
    <xdr:pic>
      <xdr:nvPicPr>
        <xdr:cNvPr id="11" name="image11.png" title="Imag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10</xdr:row>
      <xdr:rowOff>47625</xdr:rowOff>
    </xdr:from>
    <xdr:ext cx="666750" cy="685800"/>
    <xdr:pic>
      <xdr:nvPicPr>
        <xdr:cNvPr id="12" name="image12.png" title="Image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0500" y="2047875"/>
          <a:ext cx="666750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10</xdr:row>
      <xdr:rowOff>47625</xdr:rowOff>
    </xdr:from>
    <xdr:ext cx="771525" cy="685800"/>
    <xdr:pic>
      <xdr:nvPicPr>
        <xdr:cNvPr id="13" name="image14.png" title="Image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</xdr:row>
      <xdr:rowOff>200025</xdr:rowOff>
    </xdr:from>
    <xdr:ext cx="847725" cy="685800"/>
    <xdr:pic>
      <xdr:nvPicPr>
        <xdr:cNvPr id="14" name="image11.png" title="Image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533400</xdr:colOff>
      <xdr:row>2</xdr:row>
      <xdr:rowOff>0</xdr:rowOff>
    </xdr:from>
    <xdr:ext cx="847725" cy="685800"/>
    <xdr:pic>
      <xdr:nvPicPr>
        <xdr:cNvPr id="15" name="image13.png" title="Image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486900" y="400050"/>
          <a:ext cx="847725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10</xdr:row>
      <xdr:rowOff>47625</xdr:rowOff>
    </xdr:from>
    <xdr:ext cx="666750" cy="685800"/>
    <xdr:pic>
      <xdr:nvPicPr>
        <xdr:cNvPr id="21" name="image12.png" title="Image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866775</xdr:colOff>
      <xdr:row>10</xdr:row>
      <xdr:rowOff>47625</xdr:rowOff>
    </xdr:from>
    <xdr:ext cx="771525" cy="676275"/>
    <xdr:pic>
      <xdr:nvPicPr>
        <xdr:cNvPr id="22" name="image11.png" title="Image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571500</xdr:colOff>
      <xdr:row>9</xdr:row>
      <xdr:rowOff>76200</xdr:rowOff>
    </xdr:from>
    <xdr:ext cx="771525" cy="685800"/>
    <xdr:pic>
      <xdr:nvPicPr>
        <xdr:cNvPr id="23" name="image13.png" title="Image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00" y="1876425"/>
          <a:ext cx="771525" cy="6858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0</xdr:row>
      <xdr:rowOff>0</xdr:rowOff>
    </xdr:from>
    <xdr:ext cx="7038975" cy="37719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17</xdr:row>
      <xdr:rowOff>57150</xdr:rowOff>
    </xdr:from>
    <xdr:ext cx="1885950" cy="1905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143000" y="3000375"/>
          <a:ext cx="1885950" cy="190500"/>
          <a:chOff x="224975" y="950975"/>
          <a:chExt cx="2525700" cy="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17</xdr:row>
      <xdr:rowOff>57150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3648075" y="3000375"/>
          <a:ext cx="1885950" cy="190500"/>
          <a:chOff x="224975" y="950975"/>
          <a:chExt cx="2525700" cy="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25</xdr:row>
      <xdr:rowOff>38100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1143000" y="4276725"/>
          <a:ext cx="1885950" cy="190500"/>
          <a:chOff x="224975" y="950975"/>
          <a:chExt cx="2525700" cy="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25</xdr:row>
      <xdr:rowOff>38100</xdr:rowOff>
    </xdr:from>
    <xdr:ext cx="1885950" cy="1905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3667125" y="4276725"/>
          <a:ext cx="1885950" cy="190500"/>
          <a:chOff x="224975" y="950975"/>
          <a:chExt cx="2525700" cy="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34</xdr:row>
      <xdr:rowOff>28575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1143000" y="5724525"/>
          <a:ext cx="1885950" cy="190500"/>
          <a:chOff x="224975" y="950975"/>
          <a:chExt cx="2525700" cy="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34</xdr:row>
      <xdr:rowOff>66675</xdr:rowOff>
    </xdr:from>
    <xdr:ext cx="1857375" cy="1905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3676650" y="5762625"/>
          <a:ext cx="1857375" cy="190500"/>
          <a:chOff x="224975" y="950975"/>
          <a:chExt cx="2525700" cy="0"/>
        </a:xfrm>
      </xdr:grpSpPr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41</xdr:row>
      <xdr:rowOff>66675</xdr:rowOff>
    </xdr:from>
    <xdr:ext cx="1857375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1181100" y="6896100"/>
          <a:ext cx="1857375" cy="190500"/>
          <a:chOff x="224975" y="950975"/>
          <a:chExt cx="2525700" cy="0"/>
        </a:xfrm>
      </xdr:grpSpPr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41</xdr:row>
      <xdr:rowOff>66675</xdr:rowOff>
    </xdr:from>
    <xdr:ext cx="1924050" cy="190500"/>
    <xdr:grpSp>
      <xdr:nvGrpSpPr>
        <xdr:cNvPr id="12" name="Shape 2" title="Drawing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667125" y="6896100"/>
          <a:ext cx="1924050" cy="190500"/>
          <a:chOff x="224975" y="950975"/>
          <a:chExt cx="2525700" cy="0"/>
        </a:xfrm>
      </xdr:grpSpPr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4</xdr:row>
      <xdr:rowOff>57150</xdr:rowOff>
    </xdr:from>
    <xdr:ext cx="1885950" cy="190500"/>
    <xdr:grpSp>
      <xdr:nvGrpSpPr>
        <xdr:cNvPr id="13" name="Shape 2" title="Drawing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pSpPr/>
      </xdr:nvGrpSpPr>
      <xdr:grpSpPr>
        <a:xfrm>
          <a:off x="1162050" y="704850"/>
          <a:ext cx="1885950" cy="190500"/>
          <a:chOff x="224975" y="950975"/>
          <a:chExt cx="2525700" cy="0"/>
        </a:xfrm>
      </xdr:grpSpPr>
      <xdr:cxnSp macro="">
        <xdr:nvCxnSpPr>
          <xdr:cNvPr id="14" name="Shape 12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4</xdr:row>
      <xdr:rowOff>57150</xdr:rowOff>
    </xdr:from>
    <xdr:ext cx="1924050" cy="190500"/>
    <xdr:grpSp>
      <xdr:nvGrpSpPr>
        <xdr:cNvPr id="15" name="Shape 2" title="Drawing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pSpPr/>
      </xdr:nvGrpSpPr>
      <xdr:grpSpPr>
        <a:xfrm>
          <a:off x="3667125" y="704850"/>
          <a:ext cx="1924050" cy="190500"/>
          <a:chOff x="224975" y="950975"/>
          <a:chExt cx="2525700" cy="0"/>
        </a:xfrm>
      </xdr:grpSpPr>
      <xdr:cxnSp macro="">
        <xdr:nvCxnSpPr>
          <xdr:cNvPr id="16" name="Shape 13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962025</xdr:colOff>
      <xdr:row>11</xdr:row>
      <xdr:rowOff>76200</xdr:rowOff>
    </xdr:from>
    <xdr:ext cx="1924050" cy="19050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pSpPr/>
      </xdr:nvGrpSpPr>
      <xdr:grpSpPr>
        <a:xfrm>
          <a:off x="1123950" y="1857375"/>
          <a:ext cx="1924050" cy="190500"/>
          <a:chOff x="224975" y="950975"/>
          <a:chExt cx="2525700" cy="0"/>
        </a:xfrm>
      </xdr:grpSpPr>
      <xdr:cxnSp macro="">
        <xdr:nvCxnSpPr>
          <xdr:cNvPr id="18" name="Shape 14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11</xdr:row>
      <xdr:rowOff>76200</xdr:rowOff>
    </xdr:from>
    <xdr:ext cx="1924050" cy="190500"/>
    <xdr:grpSp>
      <xdr:nvGrpSpPr>
        <xdr:cNvPr id="19" name="Shape 2" title="Drawing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pSpPr/>
      </xdr:nvGrpSpPr>
      <xdr:grpSpPr>
        <a:xfrm>
          <a:off x="3676650" y="1857375"/>
          <a:ext cx="1924050" cy="190500"/>
          <a:chOff x="224975" y="950975"/>
          <a:chExt cx="2525700" cy="0"/>
        </a:xfrm>
      </xdr:grpSpPr>
      <xdr:cxnSp macro="">
        <xdr:nvCxnSpPr>
          <xdr:cNvPr id="20" name="Shape 15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142875</xdr:colOff>
      <xdr:row>15</xdr:row>
      <xdr:rowOff>285750</xdr:rowOff>
    </xdr:from>
    <xdr:ext cx="733425" cy="733425"/>
    <xdr:pic>
      <xdr:nvPicPr>
        <xdr:cNvPr id="27" name="image15.png" title="Image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16</xdr:row>
      <xdr:rowOff>28575</xdr:rowOff>
    </xdr:from>
    <xdr:ext cx="600075" cy="542925"/>
    <xdr:pic>
      <xdr:nvPicPr>
        <xdr:cNvPr id="28" name="image17.png" title="Image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15</xdr:row>
      <xdr:rowOff>323850</xdr:rowOff>
    </xdr:from>
    <xdr:ext cx="600075" cy="590550"/>
    <xdr:pic>
      <xdr:nvPicPr>
        <xdr:cNvPr id="29" name="image16.png" title="Image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21</xdr:row>
      <xdr:rowOff>466725</xdr:rowOff>
    </xdr:from>
    <xdr:ext cx="733425" cy="666750"/>
    <xdr:pic>
      <xdr:nvPicPr>
        <xdr:cNvPr id="30" name="image15.png" title="Image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24</xdr:row>
      <xdr:rowOff>38100</xdr:rowOff>
    </xdr:from>
    <xdr:ext cx="733425" cy="590550"/>
    <xdr:pic>
      <xdr:nvPicPr>
        <xdr:cNvPr id="31" name="image18.png" title="Image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24</xdr:row>
      <xdr:rowOff>38100</xdr:rowOff>
    </xdr:from>
    <xdr:ext cx="647700" cy="590550"/>
    <xdr:pic>
      <xdr:nvPicPr>
        <xdr:cNvPr id="32" name="image16.png" title="Image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33</xdr:row>
      <xdr:rowOff>28575</xdr:rowOff>
    </xdr:from>
    <xdr:ext cx="733425" cy="590550"/>
    <xdr:pic>
      <xdr:nvPicPr>
        <xdr:cNvPr id="33" name="image20.png" title="Image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33</xdr:row>
      <xdr:rowOff>28575</xdr:rowOff>
    </xdr:from>
    <xdr:ext cx="733425" cy="666750"/>
    <xdr:pic>
      <xdr:nvPicPr>
        <xdr:cNvPr id="34" name="image21.png" title="Image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952750" y="5724525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33</xdr:row>
      <xdr:rowOff>28575</xdr:rowOff>
    </xdr:from>
    <xdr:ext cx="647700" cy="666750"/>
    <xdr:pic>
      <xdr:nvPicPr>
        <xdr:cNvPr id="35" name="image16.png" title="Image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40</xdr:row>
      <xdr:rowOff>0</xdr:rowOff>
    </xdr:from>
    <xdr:ext cx="752475" cy="590550"/>
    <xdr:pic>
      <xdr:nvPicPr>
        <xdr:cNvPr id="36" name="image20.png" title="Image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00" y="6181725"/>
          <a:ext cx="7524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39</xdr:row>
      <xdr:rowOff>95250</xdr:rowOff>
    </xdr:from>
    <xdr:ext cx="809625" cy="733425"/>
    <xdr:pic>
      <xdr:nvPicPr>
        <xdr:cNvPr id="37" name="image15.png" title="Image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43225" y="6115050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40</xdr:row>
      <xdr:rowOff>0</xdr:rowOff>
    </xdr:from>
    <xdr:ext cx="647700" cy="666750"/>
    <xdr:pic>
      <xdr:nvPicPr>
        <xdr:cNvPr id="38" name="image16.png" title="Image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24500" y="6181725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3</xdr:row>
      <xdr:rowOff>19050</xdr:rowOff>
    </xdr:from>
    <xdr:ext cx="657225" cy="600075"/>
    <xdr:pic>
      <xdr:nvPicPr>
        <xdr:cNvPr id="39" name="image19.png" title="Image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6725" y="504825"/>
          <a:ext cx="6572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3</xdr:row>
      <xdr:rowOff>19050</xdr:rowOff>
    </xdr:from>
    <xdr:ext cx="647700" cy="590550"/>
    <xdr:pic>
      <xdr:nvPicPr>
        <xdr:cNvPr id="40" name="image23.png" title="Image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3</xdr:row>
      <xdr:rowOff>19050</xdr:rowOff>
    </xdr:from>
    <xdr:ext cx="600075" cy="590550"/>
    <xdr:pic>
      <xdr:nvPicPr>
        <xdr:cNvPr id="41" name="image16.png" title="Image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</xdr:row>
      <xdr:rowOff>114300</xdr:rowOff>
    </xdr:from>
    <xdr:ext cx="733425" cy="733425"/>
    <xdr:pic>
      <xdr:nvPicPr>
        <xdr:cNvPr id="42" name="image15.png" title="Image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2900" y="1571625"/>
          <a:ext cx="7334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57150</xdr:rowOff>
    </xdr:from>
    <xdr:ext cx="657225" cy="590550"/>
    <xdr:pic>
      <xdr:nvPicPr>
        <xdr:cNvPr id="43" name="image23.png" title="Image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9</xdr:row>
      <xdr:rowOff>561975</xdr:rowOff>
    </xdr:from>
    <xdr:ext cx="600075" cy="590550"/>
    <xdr:pic>
      <xdr:nvPicPr>
        <xdr:cNvPr id="44" name="image16.png" title="Image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209550</xdr:colOff>
      <xdr:row>0</xdr:row>
      <xdr:rowOff>19050</xdr:rowOff>
    </xdr:from>
    <xdr:ext cx="6372225" cy="34194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4</xdr:row>
      <xdr:rowOff>57150</xdr:rowOff>
    </xdr:from>
    <xdr:ext cx="1885950" cy="1905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1123950" y="895350"/>
          <a:ext cx="1885950" cy="190500"/>
          <a:chOff x="224975" y="950975"/>
          <a:chExt cx="2525700" cy="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4</xdr:row>
      <xdr:rowOff>57150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3629025" y="895350"/>
          <a:ext cx="1885950" cy="190500"/>
          <a:chOff x="224975" y="950975"/>
          <a:chExt cx="2525700" cy="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12</xdr:row>
      <xdr:rowOff>38100</xdr:rowOff>
    </xdr:from>
    <xdr:ext cx="1885950" cy="1905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1123950" y="2171700"/>
          <a:ext cx="1885950" cy="190500"/>
          <a:chOff x="224975" y="950975"/>
          <a:chExt cx="2525700" cy="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12</xdr:row>
      <xdr:rowOff>38100</xdr:rowOff>
    </xdr:from>
    <xdr:ext cx="1885950" cy="190500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pSpPr/>
      </xdr:nvGrpSpPr>
      <xdr:grpSpPr>
        <a:xfrm>
          <a:off x="3648075" y="2171700"/>
          <a:ext cx="1885950" cy="190500"/>
          <a:chOff x="224975" y="950975"/>
          <a:chExt cx="2525700" cy="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21</xdr:row>
      <xdr:rowOff>28575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1123950" y="3619500"/>
          <a:ext cx="1885950" cy="190500"/>
          <a:chOff x="224975" y="950975"/>
          <a:chExt cx="2525700" cy="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21</xdr:row>
      <xdr:rowOff>66675</xdr:rowOff>
    </xdr:from>
    <xdr:ext cx="1857375" cy="1905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/>
      </xdr:nvGrpSpPr>
      <xdr:grpSpPr>
        <a:xfrm>
          <a:off x="3657600" y="3657600"/>
          <a:ext cx="1857375" cy="190500"/>
          <a:chOff x="224975" y="950975"/>
          <a:chExt cx="2525700" cy="0"/>
        </a:xfrm>
      </xdr:grpSpPr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29</xdr:row>
      <xdr:rowOff>66675</xdr:rowOff>
    </xdr:from>
    <xdr:ext cx="1857375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1162050" y="4953000"/>
          <a:ext cx="1857375" cy="190500"/>
          <a:chOff x="224975" y="950975"/>
          <a:chExt cx="2525700" cy="0"/>
        </a:xfrm>
      </xdr:grpSpPr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29</xdr:row>
      <xdr:rowOff>66675</xdr:rowOff>
    </xdr:from>
    <xdr:ext cx="1924050" cy="190500"/>
    <xdr:grpSp>
      <xdr:nvGrpSpPr>
        <xdr:cNvPr id="12" name="Shape 2" title="Drawing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pSpPr/>
      </xdr:nvGrpSpPr>
      <xdr:grpSpPr>
        <a:xfrm>
          <a:off x="3648075" y="4953000"/>
          <a:ext cx="1924050" cy="190500"/>
          <a:chOff x="224975" y="950975"/>
          <a:chExt cx="2525700" cy="0"/>
        </a:xfrm>
      </xdr:grpSpPr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142875</xdr:colOff>
      <xdr:row>2</xdr:row>
      <xdr:rowOff>285750</xdr:rowOff>
    </xdr:from>
    <xdr:ext cx="733425" cy="733425"/>
    <xdr:pic>
      <xdr:nvPicPr>
        <xdr:cNvPr id="13" name="image22.png" title="Image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3</xdr:row>
      <xdr:rowOff>28575</xdr:rowOff>
    </xdr:from>
    <xdr:ext cx="600075" cy="542925"/>
    <xdr:pic>
      <xdr:nvPicPr>
        <xdr:cNvPr id="14" name="image24.png" title="Image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</xdr:row>
      <xdr:rowOff>323850</xdr:rowOff>
    </xdr:from>
    <xdr:ext cx="600075" cy="590550"/>
    <xdr:pic>
      <xdr:nvPicPr>
        <xdr:cNvPr id="15" name="image25.png" title="Image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8</xdr:row>
      <xdr:rowOff>466725</xdr:rowOff>
    </xdr:from>
    <xdr:ext cx="733425" cy="666750"/>
    <xdr:pic>
      <xdr:nvPicPr>
        <xdr:cNvPr id="16" name="image22.png" title="Image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11</xdr:row>
      <xdr:rowOff>38100</xdr:rowOff>
    </xdr:from>
    <xdr:ext cx="733425" cy="590550"/>
    <xdr:pic>
      <xdr:nvPicPr>
        <xdr:cNvPr id="17" name="image27.png" title="Image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11</xdr:row>
      <xdr:rowOff>38100</xdr:rowOff>
    </xdr:from>
    <xdr:ext cx="647700" cy="590550"/>
    <xdr:pic>
      <xdr:nvPicPr>
        <xdr:cNvPr id="18" name="image25.png" title="Image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20</xdr:row>
      <xdr:rowOff>28575</xdr:rowOff>
    </xdr:from>
    <xdr:ext cx="733425" cy="590550"/>
    <xdr:pic>
      <xdr:nvPicPr>
        <xdr:cNvPr id="19" name="image26.png" title="Image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20</xdr:row>
      <xdr:rowOff>28575</xdr:rowOff>
    </xdr:from>
    <xdr:ext cx="733425" cy="666750"/>
    <xdr:pic>
      <xdr:nvPicPr>
        <xdr:cNvPr id="20" name="image28.png" title="Image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962275" y="3619500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20</xdr:row>
      <xdr:rowOff>28575</xdr:rowOff>
    </xdr:from>
    <xdr:ext cx="647700" cy="666750"/>
    <xdr:pic>
      <xdr:nvPicPr>
        <xdr:cNvPr id="27" name="image25.png" title="Image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86400" y="3619500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27</xdr:row>
      <xdr:rowOff>514350</xdr:rowOff>
    </xdr:from>
    <xdr:ext cx="809625" cy="590550"/>
    <xdr:pic>
      <xdr:nvPicPr>
        <xdr:cNvPr id="28" name="image26.png" title="Image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27</xdr:row>
      <xdr:rowOff>104775</xdr:rowOff>
    </xdr:from>
    <xdr:ext cx="809625" cy="733425"/>
    <xdr:pic>
      <xdr:nvPicPr>
        <xdr:cNvPr id="29" name="image22.png" title="Image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14650" y="4019550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27</xdr:row>
      <xdr:rowOff>485775</xdr:rowOff>
    </xdr:from>
    <xdr:ext cx="647700" cy="666750"/>
    <xdr:pic>
      <xdr:nvPicPr>
        <xdr:cNvPr id="30" name="image25.png" title="Image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0</xdr:row>
      <xdr:rowOff>0</xdr:rowOff>
    </xdr:from>
    <xdr:ext cx="6229350" cy="39338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18</xdr:row>
      <xdr:rowOff>57150</xdr:rowOff>
    </xdr:from>
    <xdr:ext cx="1885950" cy="1905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1133475" y="3162300"/>
          <a:ext cx="1885950" cy="190500"/>
          <a:chOff x="224975" y="950975"/>
          <a:chExt cx="2525700" cy="0"/>
        </a:xfrm>
      </xdr:grpSpPr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B00-000015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18</xdr:row>
      <xdr:rowOff>57150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3638550" y="3162300"/>
          <a:ext cx="1885950" cy="190500"/>
          <a:chOff x="224975" y="950975"/>
          <a:chExt cx="2525700" cy="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26</xdr:row>
      <xdr:rowOff>38100</xdr:rowOff>
    </xdr:from>
    <xdr:ext cx="1885950" cy="190500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1133475" y="4438650"/>
          <a:ext cx="1885950" cy="190500"/>
          <a:chOff x="224975" y="950975"/>
          <a:chExt cx="2525700" cy="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26</xdr:row>
      <xdr:rowOff>38100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pSpPr/>
      </xdr:nvGrpSpPr>
      <xdr:grpSpPr>
        <a:xfrm>
          <a:off x="3657600" y="4438650"/>
          <a:ext cx="1885950" cy="190500"/>
          <a:chOff x="224975" y="950975"/>
          <a:chExt cx="2525700" cy="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35</xdr:row>
      <xdr:rowOff>28575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1133475" y="5886450"/>
          <a:ext cx="1885950" cy="190500"/>
          <a:chOff x="224975" y="950975"/>
          <a:chExt cx="2525700" cy="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35</xdr:row>
      <xdr:rowOff>66675</xdr:rowOff>
    </xdr:from>
    <xdr:ext cx="1857375" cy="190500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pSpPr/>
      </xdr:nvGrpSpPr>
      <xdr:grpSpPr>
        <a:xfrm>
          <a:off x="3667125" y="5924550"/>
          <a:ext cx="1857375" cy="190500"/>
          <a:chOff x="224975" y="950975"/>
          <a:chExt cx="2525700" cy="0"/>
        </a:xfrm>
      </xdr:grpSpPr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43</xdr:row>
      <xdr:rowOff>66675</xdr:rowOff>
    </xdr:from>
    <xdr:ext cx="1857375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1171575" y="7219950"/>
          <a:ext cx="1857375" cy="190500"/>
          <a:chOff x="224975" y="950975"/>
          <a:chExt cx="2525700" cy="0"/>
        </a:xfrm>
      </xdr:grpSpPr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43</xdr:row>
      <xdr:rowOff>66675</xdr:rowOff>
    </xdr:from>
    <xdr:ext cx="1924050" cy="190500"/>
    <xdr:grpSp>
      <xdr:nvGrpSpPr>
        <xdr:cNvPr id="12" name="Shape 2" title="Drawin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pSpPr/>
      </xdr:nvGrpSpPr>
      <xdr:grpSpPr>
        <a:xfrm>
          <a:off x="3657600" y="7219950"/>
          <a:ext cx="1924050" cy="190500"/>
          <a:chOff x="224975" y="950975"/>
          <a:chExt cx="2525700" cy="0"/>
        </a:xfrm>
      </xdr:grpSpPr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B00-00001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4</xdr:row>
      <xdr:rowOff>104775</xdr:rowOff>
    </xdr:from>
    <xdr:ext cx="1924050" cy="190500"/>
    <xdr:grpSp>
      <xdr:nvGrpSpPr>
        <xdr:cNvPr id="13" name="Shape 2" title="Drawing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pSpPr/>
      </xdr:nvGrpSpPr>
      <xdr:grpSpPr>
        <a:xfrm>
          <a:off x="1133475" y="752475"/>
          <a:ext cx="1924050" cy="190500"/>
          <a:chOff x="224975" y="950975"/>
          <a:chExt cx="2525700" cy="0"/>
        </a:xfrm>
      </xdr:grpSpPr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B00-00001B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971550</xdr:colOff>
      <xdr:row>12</xdr:row>
      <xdr:rowOff>142875</xdr:rowOff>
    </xdr:from>
    <xdr:ext cx="2000250" cy="190500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pSpPr/>
      </xdr:nvGrpSpPr>
      <xdr:grpSpPr>
        <a:xfrm>
          <a:off x="1114425" y="2085975"/>
          <a:ext cx="2000250" cy="190500"/>
          <a:chOff x="224975" y="950975"/>
          <a:chExt cx="2525700" cy="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B00-00001C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904875</xdr:colOff>
      <xdr:row>4</xdr:row>
      <xdr:rowOff>104775</xdr:rowOff>
    </xdr:from>
    <xdr:ext cx="2076450" cy="190500"/>
    <xdr:grpSp>
      <xdr:nvGrpSpPr>
        <xdr:cNvPr id="15" name="Shape 2" title="Drawing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pSpPr/>
      </xdr:nvGrpSpPr>
      <xdr:grpSpPr>
        <a:xfrm>
          <a:off x="3629025" y="752475"/>
          <a:ext cx="2076450" cy="190500"/>
          <a:chOff x="224975" y="950975"/>
          <a:chExt cx="2525700" cy="0"/>
        </a:xfrm>
      </xdr:grpSpPr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B00-00001D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962025</xdr:colOff>
      <xdr:row>12</xdr:row>
      <xdr:rowOff>142875</xdr:rowOff>
    </xdr:from>
    <xdr:ext cx="2000250" cy="190500"/>
    <xdr:grpSp>
      <xdr:nvGrpSpPr>
        <xdr:cNvPr id="16" name="Shape 2" title="Drawing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pSpPr/>
      </xdr:nvGrpSpPr>
      <xdr:grpSpPr>
        <a:xfrm>
          <a:off x="3629025" y="2085975"/>
          <a:ext cx="2000250" cy="190500"/>
          <a:chOff x="224975" y="950975"/>
          <a:chExt cx="2525700" cy="0"/>
        </a:xfrm>
      </xdr:grpSpPr>
      <xdr:cxnSp macro="">
        <xdr:nvCxnSpPr>
          <xdr:cNvPr id="30" name="Shape 30">
            <a:extLst>
              <a:ext uri="{FF2B5EF4-FFF2-40B4-BE49-F238E27FC236}">
                <a16:creationId xmlns:a16="http://schemas.microsoft.com/office/drawing/2014/main" id="{00000000-0008-0000-0B00-00001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</xdr:colOff>
      <xdr:row>16</xdr:row>
      <xdr:rowOff>276225</xdr:rowOff>
    </xdr:from>
    <xdr:ext cx="733425" cy="733425"/>
    <xdr:pic>
      <xdr:nvPicPr>
        <xdr:cNvPr id="17" name="image29.png" title="Image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2900" y="2705100"/>
          <a:ext cx="7334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17</xdr:row>
      <xdr:rowOff>28575</xdr:rowOff>
    </xdr:from>
    <xdr:ext cx="600075" cy="542925"/>
    <xdr:pic>
      <xdr:nvPicPr>
        <xdr:cNvPr id="18" name="image31.png" title="Image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16</xdr:row>
      <xdr:rowOff>323850</xdr:rowOff>
    </xdr:from>
    <xdr:ext cx="600075" cy="590550"/>
    <xdr:pic>
      <xdr:nvPicPr>
        <xdr:cNvPr id="19" name="image30.png" title="Image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24</xdr:row>
      <xdr:rowOff>466725</xdr:rowOff>
    </xdr:from>
    <xdr:ext cx="733425" cy="666750"/>
    <xdr:pic>
      <xdr:nvPicPr>
        <xdr:cNvPr id="20" name="image29.png" title="Image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25</xdr:row>
      <xdr:rowOff>38100</xdr:rowOff>
    </xdr:from>
    <xdr:ext cx="733425" cy="590550"/>
    <xdr:pic>
      <xdr:nvPicPr>
        <xdr:cNvPr id="31" name="image32.png" title="Image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25</xdr:row>
      <xdr:rowOff>38100</xdr:rowOff>
    </xdr:from>
    <xdr:ext cx="647700" cy="590550"/>
    <xdr:pic>
      <xdr:nvPicPr>
        <xdr:cNvPr id="32" name="image30.png" title="Image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34</xdr:row>
      <xdr:rowOff>28575</xdr:rowOff>
    </xdr:from>
    <xdr:ext cx="733425" cy="590550"/>
    <xdr:pic>
      <xdr:nvPicPr>
        <xdr:cNvPr id="33" name="image33.png" title="Image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34</xdr:row>
      <xdr:rowOff>0</xdr:rowOff>
    </xdr:from>
    <xdr:ext cx="733425" cy="666750"/>
    <xdr:pic>
      <xdr:nvPicPr>
        <xdr:cNvPr id="34" name="image34.png" title="Image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952750" y="5048250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34</xdr:row>
      <xdr:rowOff>28575</xdr:rowOff>
    </xdr:from>
    <xdr:ext cx="647700" cy="666750"/>
    <xdr:pic>
      <xdr:nvPicPr>
        <xdr:cNvPr id="35" name="image30.png" title="Image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41</xdr:row>
      <xdr:rowOff>85725</xdr:rowOff>
    </xdr:from>
    <xdr:ext cx="809625" cy="590550"/>
    <xdr:pic>
      <xdr:nvPicPr>
        <xdr:cNvPr id="36" name="image33.png" title="Image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5275" y="6915150"/>
          <a:ext cx="8096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41</xdr:row>
      <xdr:rowOff>47625</xdr:rowOff>
    </xdr:from>
    <xdr:ext cx="809625" cy="733425"/>
    <xdr:pic>
      <xdr:nvPicPr>
        <xdr:cNvPr id="37" name="image29.png" title="Image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24175" y="6877050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41</xdr:row>
      <xdr:rowOff>95250</xdr:rowOff>
    </xdr:from>
    <xdr:ext cx="647700" cy="666750"/>
    <xdr:pic>
      <xdr:nvPicPr>
        <xdr:cNvPr id="38" name="image30.png" title="Image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24500" y="6924675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3</xdr:row>
      <xdr:rowOff>19050</xdr:rowOff>
    </xdr:from>
    <xdr:ext cx="657225" cy="581025"/>
    <xdr:pic>
      <xdr:nvPicPr>
        <xdr:cNvPr id="40" name="image35.png" title="Image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57200" y="504825"/>
          <a:ext cx="657225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3</xdr:row>
      <xdr:rowOff>19050</xdr:rowOff>
    </xdr:from>
    <xdr:ext cx="647700" cy="590550"/>
    <xdr:pic>
      <xdr:nvPicPr>
        <xdr:cNvPr id="41" name="image36.png" title="Image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3</xdr:row>
      <xdr:rowOff>47625</xdr:rowOff>
    </xdr:from>
    <xdr:ext cx="600075" cy="590550"/>
    <xdr:pic>
      <xdr:nvPicPr>
        <xdr:cNvPr id="42" name="image30.png" title="Image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57850" y="533400"/>
          <a:ext cx="6000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10</xdr:row>
      <xdr:rowOff>76200</xdr:rowOff>
    </xdr:from>
    <xdr:ext cx="733425" cy="733425"/>
    <xdr:pic>
      <xdr:nvPicPr>
        <xdr:cNvPr id="43" name="image29.png" title="Image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0525" y="1533525"/>
          <a:ext cx="7334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11</xdr:row>
      <xdr:rowOff>57150</xdr:rowOff>
    </xdr:from>
    <xdr:ext cx="657225" cy="590550"/>
    <xdr:pic>
      <xdr:nvPicPr>
        <xdr:cNvPr id="44" name="image36.png" title="Image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323850</xdr:colOff>
      <xdr:row>11</xdr:row>
      <xdr:rowOff>19050</xdr:rowOff>
    </xdr:from>
    <xdr:ext cx="600075" cy="590550"/>
    <xdr:pic>
      <xdr:nvPicPr>
        <xdr:cNvPr id="45" name="image30.png" title="Image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29275" y="1638300"/>
          <a:ext cx="60007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cgspace.cgiar.org/server/api/core/bitstreams/e3023b9c-6154-495c-8c1b-4b535af8327a/content" TargetMode="External"/><Relationship Id="rId3" Type="http://schemas.openxmlformats.org/officeDocument/2006/relationships/hyperlink" Target="https://www.iea.org/data-and-statistics/data-product/emissions-factors-2023?utm_source=chatgpt.com" TargetMode="External"/><Relationship Id="rId7" Type="http://schemas.openxmlformats.org/officeDocument/2006/relationships/hyperlink" Target="https://archive.ipcc.ch/pdf/special-reports/sroc/sroc04.pdf" TargetMode="External"/><Relationship Id="rId2" Type="http://schemas.openxmlformats.org/officeDocument/2006/relationships/hyperlink" Target="https://www.coolerfreezerunit.com/news/how-much-electricity-does-my-cold-storage-need-to-run-a-day/" TargetMode="External"/><Relationship Id="rId1" Type="http://schemas.openxmlformats.org/officeDocument/2006/relationships/hyperlink" Target="https://www.coolerfreezerunit.com/news/how-much-electricity-does-my-cold-storage-need-to-run-a-day/" TargetMode="External"/><Relationship Id="rId6" Type="http://schemas.openxmlformats.org/officeDocument/2006/relationships/hyperlink" Target="https://www.sciencedirect.com/science/article/pii/S2214157X2200449X" TargetMode="External"/><Relationship Id="rId5" Type="http://schemas.openxmlformats.org/officeDocument/2006/relationships/hyperlink" Target="https://www.worldcargonews.com/news/2024/09/mci-launches-triple-refrigerant-reefer/" TargetMode="External"/><Relationship Id="rId4" Type="http://schemas.openxmlformats.org/officeDocument/2006/relationships/hyperlink" Target="https://www.worldcargonews.com/news/2024/09/mci-launches-triple-refrigerant-reefer/" TargetMode="External"/><Relationship Id="rId9" Type="http://schemas.openxmlformats.org/officeDocument/2006/relationships/hyperlink" Target="https://www.biocycle.net/connections-food-waste-and-landfill-methane-report-a-giant-step-on-a-long-road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olerfreezerunit.com/news/how-much-electricity-does-my-cold-storage-need-to-run-a-day/" TargetMode="External"/><Relationship Id="rId2" Type="http://schemas.openxmlformats.org/officeDocument/2006/relationships/hyperlink" Target="https://www.coolerfreezerunit.com/news/how-much-electricity-does-my-cold-storage-need-to-run-a-day/" TargetMode="External"/><Relationship Id="rId1" Type="http://schemas.openxmlformats.org/officeDocument/2006/relationships/hyperlink" Target="https://www.coolerfreezerunit.com/news/how-much-electricity-does-my-cold-storage-need-to-run-a-day/" TargetMode="External"/><Relationship Id="rId6" Type="http://schemas.openxmlformats.org/officeDocument/2006/relationships/hyperlink" Target="https://www.biocycle.net/connections-food-waste-and-landfill-methane-report-a-giant-step-on-a-long-road/" TargetMode="External"/><Relationship Id="rId5" Type="http://schemas.openxmlformats.org/officeDocument/2006/relationships/hyperlink" Target="https://cgspace.cgiar.org/server/api/core/bitstreams/e3023b9c-6154-495c-8c1b-4b535af8327a/content" TargetMode="External"/><Relationship Id="rId4" Type="http://schemas.openxmlformats.org/officeDocument/2006/relationships/hyperlink" Target="https://www.iea.org/data-and-statistics/data-product/emissions-factors-2023?utm_source=chatgpt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ea.org/data-and-statistics/data-product/emissions-factors-2023?utm_source=chatgpt.com" TargetMode="External"/><Relationship Id="rId3" Type="http://schemas.openxmlformats.org/officeDocument/2006/relationships/hyperlink" Target="https://www.sciencedirect.com/science/article/pii/S2214157X2200449X" TargetMode="External"/><Relationship Id="rId7" Type="http://schemas.openxmlformats.org/officeDocument/2006/relationships/hyperlink" Target="https://www.coolerfreezerunit.com/news/how-much-electricity-does-my-cold-storage-need-to-run-a-day/" TargetMode="External"/><Relationship Id="rId2" Type="http://schemas.openxmlformats.org/officeDocument/2006/relationships/hyperlink" Target="https://www.worldcargonews.com/news/2024/09/mci-launches-triple-refrigerant-reefer/" TargetMode="External"/><Relationship Id="rId1" Type="http://schemas.openxmlformats.org/officeDocument/2006/relationships/hyperlink" Target="https://www.worldcargonews.com/news/2024/09/mci-launches-triple-refrigerant-reefer/" TargetMode="External"/><Relationship Id="rId6" Type="http://schemas.openxmlformats.org/officeDocument/2006/relationships/hyperlink" Target="https://www.coolerfreezerunit.com/news/how-much-electricity-does-my-cold-storage-need-to-run-a-day/" TargetMode="External"/><Relationship Id="rId5" Type="http://schemas.openxmlformats.org/officeDocument/2006/relationships/hyperlink" Target="https://www.coolerfreezerunit.com/news/how-much-electricity-does-my-cold-storage-need-to-run-a-day/" TargetMode="External"/><Relationship Id="rId10" Type="http://schemas.openxmlformats.org/officeDocument/2006/relationships/hyperlink" Target="https://www.biocycle.net/connections-food-waste-and-landfill-methane-report-a-giant-step-on-a-long-road/" TargetMode="External"/><Relationship Id="rId4" Type="http://schemas.openxmlformats.org/officeDocument/2006/relationships/hyperlink" Target="https://archive.ipcc.ch/pdf/special-reports/sroc/sroc04.pdf" TargetMode="External"/><Relationship Id="rId9" Type="http://schemas.openxmlformats.org/officeDocument/2006/relationships/hyperlink" Target="https://cgspace.cgiar.org/server/api/core/bitstreams/e3023b9c-6154-495c-8c1b-4b535af8327a/cont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mcar.co.uk/emissions/co2litre/?fueltype=diese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data-product/emissions-factors-2023?utm_source=chatgpt.com" TargetMode="External"/><Relationship Id="rId2" Type="http://schemas.openxmlformats.org/officeDocument/2006/relationships/hyperlink" Target="https://dienmaygiagoc.com.vn/en/sanden-intercool-freezer-600-liters-snh-0605.html" TargetMode="External"/><Relationship Id="rId1" Type="http://schemas.openxmlformats.org/officeDocument/2006/relationships/hyperlink" Target="https://dienmaygiagoc.com.vn/en/sanden-intercool-freezer-600-liters-snh-06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1"/>
  <sheetViews>
    <sheetView showGridLines="0" tabSelected="1" workbookViewId="0"/>
  </sheetViews>
  <sheetFormatPr defaultColWidth="12.5703125" defaultRowHeight="15.75" customHeight="1"/>
  <cols>
    <col min="1" max="1" width="26.42578125" customWidth="1"/>
    <col min="3" max="3" width="4.140625" customWidth="1"/>
    <col min="4" max="4" width="12.5703125" customWidth="1"/>
    <col min="5" max="5" width="4.85546875" customWidth="1"/>
    <col min="6" max="6" width="12" customWidth="1"/>
    <col min="7" max="7" width="4.42578125" customWidth="1"/>
    <col min="9" max="9" width="4.42578125" customWidth="1"/>
    <col min="11" max="11" width="4.85546875" customWidth="1"/>
    <col min="13" max="13" width="8.28515625" customWidth="1"/>
    <col min="14" max="14" width="13.85546875" bestFit="1" customWidth="1"/>
    <col min="15" max="15" width="5.140625" customWidth="1"/>
    <col min="16" max="16" width="22.28515625" customWidth="1"/>
    <col min="17" max="17" width="9.28515625" customWidth="1"/>
    <col min="18" max="18" width="23.85546875" customWidth="1"/>
    <col min="19" max="19" width="10.7109375" customWidth="1"/>
    <col min="20" max="20" width="0.42578125" customWidth="1"/>
  </cols>
  <sheetData>
    <row r="1" spans="1:20" ht="15">
      <c r="G1" s="218" t="s">
        <v>258</v>
      </c>
      <c r="H1" s="217"/>
      <c r="I1" s="217"/>
      <c r="J1" s="217"/>
      <c r="P1" s="2" t="s">
        <v>0</v>
      </c>
    </row>
    <row r="2" spans="1:20" ht="131.25" customHeight="1">
      <c r="A2" s="3"/>
      <c r="B2" s="4" t="s">
        <v>1</v>
      </c>
      <c r="C2" s="3"/>
      <c r="D2" s="4" t="s">
        <v>2</v>
      </c>
      <c r="E2" s="3"/>
      <c r="F2" s="4" t="s">
        <v>3</v>
      </c>
      <c r="G2" s="5"/>
      <c r="H2" s="4" t="s">
        <v>4</v>
      </c>
      <c r="I2" s="3"/>
      <c r="J2" s="4" t="s">
        <v>5</v>
      </c>
      <c r="K2" s="3"/>
      <c r="L2" s="4" t="s">
        <v>6</v>
      </c>
      <c r="M2" s="3"/>
      <c r="N2" s="3"/>
      <c r="O2" s="3"/>
      <c r="P2" s="219" t="s">
        <v>259</v>
      </c>
      <c r="Q2" s="220"/>
      <c r="R2" s="220"/>
      <c r="S2" s="220"/>
      <c r="T2" s="221"/>
    </row>
    <row r="3" spans="1:20" ht="12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6"/>
      <c r="Q3" s="6"/>
      <c r="R3" s="6"/>
      <c r="S3" s="6"/>
      <c r="T3" s="6"/>
    </row>
    <row r="4" spans="1:20" ht="12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 t="s">
        <v>7</v>
      </c>
      <c r="Q4" s="6"/>
      <c r="R4" s="6"/>
      <c r="S4" s="6"/>
      <c r="T4" s="6"/>
    </row>
    <row r="5" spans="1:20" ht="14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7"/>
      <c r="O5" s="3"/>
      <c r="P5" s="8" t="s">
        <v>8</v>
      </c>
      <c r="Q5" s="8" t="s">
        <v>9</v>
      </c>
      <c r="R5" s="8" t="s">
        <v>10</v>
      </c>
    </row>
    <row r="6" spans="1:20" ht="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/>
      <c r="O6" s="3"/>
      <c r="P6" s="10" t="s">
        <v>11</v>
      </c>
      <c r="Q6" s="11">
        <f>'Calculation 2'!E2</f>
        <v>195.96955532598096</v>
      </c>
      <c r="R6" s="10" t="s">
        <v>12</v>
      </c>
      <c r="S6" s="215"/>
    </row>
    <row r="7" spans="1:20" ht="12.75">
      <c r="A7" s="3"/>
      <c r="B7" s="12">
        <f>'9. Project 1-Assumption'!C21+'11. Project 3-Assumption'!C3</f>
        <v>5.5</v>
      </c>
      <c r="C7" s="12"/>
      <c r="D7" s="12">
        <f>COUNT('9. Project 1-Assumption'!C3,'10. Project 2-Assumption'!C3,'11. Project 3-Assumption'!C23)</f>
        <v>3</v>
      </c>
      <c r="E7" s="12"/>
      <c r="F7" s="12">
        <f>'6. Horticulture Project 1'!C34+'7. Horticulture Project 2'!C21+'8. Horticulture Project 3'!C35</f>
        <v>1000</v>
      </c>
      <c r="G7" s="12"/>
      <c r="H7" s="12">
        <f>'3. Haulage-Assumption'!B2</f>
        <v>15</v>
      </c>
      <c r="I7" s="12"/>
      <c r="J7" s="12">
        <f>'5. Chest Freezers-Assumption'!B2</f>
        <v>2000</v>
      </c>
      <c r="K7" s="12"/>
      <c r="L7" s="12">
        <f>'3. Haulage-Assumption'!B2</f>
        <v>15</v>
      </c>
      <c r="M7" s="3"/>
      <c r="N7" s="13"/>
      <c r="O7" s="3"/>
      <c r="P7" s="10" t="s">
        <v>13</v>
      </c>
      <c r="Q7" s="11">
        <f>'Calculation 2'!E3</f>
        <v>59.384713735145745</v>
      </c>
      <c r="R7" s="10" t="s">
        <v>14</v>
      </c>
      <c r="S7" s="215"/>
    </row>
    <row r="8" spans="1:20" ht="25.5">
      <c r="A8" s="3"/>
      <c r="B8" s="14" t="s">
        <v>11</v>
      </c>
      <c r="C8" s="3"/>
      <c r="D8" s="15" t="s">
        <v>15</v>
      </c>
      <c r="E8" s="3"/>
      <c r="F8" s="14" t="s">
        <v>16</v>
      </c>
      <c r="G8" s="3"/>
      <c r="H8" s="14" t="s">
        <v>17</v>
      </c>
      <c r="I8" s="3"/>
      <c r="J8" s="16" t="s">
        <v>18</v>
      </c>
      <c r="K8" s="3"/>
      <c r="L8" s="14" t="s">
        <v>17</v>
      </c>
      <c r="M8" s="3"/>
      <c r="N8" s="13" t="s">
        <v>19</v>
      </c>
      <c r="O8" s="3"/>
      <c r="P8" s="10" t="s">
        <v>20</v>
      </c>
      <c r="Q8" s="11">
        <f>'Calculation 2'!E4</f>
        <v>35630.828241087445</v>
      </c>
      <c r="R8" s="10" t="s">
        <v>21</v>
      </c>
      <c r="S8" s="215"/>
    </row>
    <row r="9" spans="1:20" ht="12.75">
      <c r="A9" s="3"/>
      <c r="B9" s="14"/>
      <c r="C9" s="3"/>
      <c r="D9" s="15"/>
      <c r="E9" s="3"/>
      <c r="F9" s="14"/>
      <c r="G9" s="3"/>
      <c r="H9" s="14"/>
      <c r="I9" s="3"/>
      <c r="J9" s="16"/>
      <c r="K9" s="3"/>
      <c r="L9" s="14"/>
      <c r="M9" s="3"/>
      <c r="N9" s="13"/>
      <c r="O9" s="3"/>
      <c r="P9" s="10" t="s">
        <v>22</v>
      </c>
      <c r="Q9" s="11">
        <f>'Calculation 2'!E5</f>
        <v>534.46242361631175</v>
      </c>
      <c r="R9" s="10" t="s">
        <v>17</v>
      </c>
    </row>
    <row r="10" spans="1:20" ht="40.5">
      <c r="A10" s="17" t="s">
        <v>23</v>
      </c>
      <c r="B10" s="18">
        <f>'9. Project 1-Assumption'!M22+'11. Project 3-Assumption'!M4</f>
        <v>19.819800000000001</v>
      </c>
      <c r="C10" s="3"/>
      <c r="D10" s="18">
        <f>'9. Project 1-Assumption'!M4+'10. Project 2-Assumption'!M4+'11. Project 3-Assumption'!M24</f>
        <v>2424.0172198102327</v>
      </c>
      <c r="E10" s="3"/>
      <c r="F10" s="18">
        <f>'9. Project 1-Assumption'!M41+'10. Project 2-Assumption'!M25+'11. Project 3-Assumption'!M45</f>
        <v>1658.9765499999999</v>
      </c>
      <c r="G10" s="3"/>
      <c r="H10" s="18">
        <f>'3. Haulage-Assumption'!L4</f>
        <v>1728.0091546740002</v>
      </c>
      <c r="I10" s="3"/>
      <c r="J10" s="18">
        <f>'5. Chest Freezers-Assumption'!B23</f>
        <v>507.56966260000007</v>
      </c>
      <c r="K10" s="3"/>
      <c r="L10" s="18">
        <f>'3. Haulage-Assumption'!L22</f>
        <v>678.00359193806253</v>
      </c>
      <c r="M10" s="3"/>
      <c r="N10" s="19">
        <f>B10+D10+F10+H10+J10+L10</f>
        <v>7016.3959790222953</v>
      </c>
      <c r="O10" s="3"/>
      <c r="P10" s="10" t="s">
        <v>18</v>
      </c>
      <c r="Q10" s="11">
        <f>'Calculation 2'!E6</f>
        <v>71261.656482174905</v>
      </c>
      <c r="R10" s="10" t="s">
        <v>18</v>
      </c>
    </row>
    <row r="11" spans="1:20" ht="12.75">
      <c r="A11" s="222" t="s">
        <v>24</v>
      </c>
      <c r="B11" s="216">
        <f>'Calculation 2'!D11</f>
        <v>34.63082824108745</v>
      </c>
      <c r="C11" s="3"/>
      <c r="D11" s="216">
        <f>'Calculation 2'!D12</f>
        <v>34.63082824108745</v>
      </c>
      <c r="E11" s="3"/>
      <c r="F11" s="216">
        <f>'Calculation 2'!D13</f>
        <v>34.63082824108745</v>
      </c>
      <c r="G11" s="3"/>
      <c r="H11" s="216">
        <f>'Calculation 2'!D14</f>
        <v>34.63082824108745</v>
      </c>
      <c r="I11" s="3"/>
      <c r="J11" s="216">
        <f>'Calculation 2'!D15</f>
        <v>34.63082824108745</v>
      </c>
      <c r="K11" s="3"/>
      <c r="L11" s="216">
        <f>'Calculation 2'!D16</f>
        <v>34.63082824108745</v>
      </c>
      <c r="M11" s="3"/>
      <c r="N11" s="3"/>
      <c r="O11" s="3"/>
      <c r="P11" s="10" t="s">
        <v>6</v>
      </c>
      <c r="Q11" s="11">
        <f>'Calculation 2'!E7</f>
        <v>534.46242361631175</v>
      </c>
      <c r="R11" s="10" t="s">
        <v>17</v>
      </c>
    </row>
    <row r="12" spans="1:20" ht="25.5">
      <c r="A12" s="217"/>
      <c r="B12" s="217"/>
      <c r="C12" s="3"/>
      <c r="D12" s="217"/>
      <c r="E12" s="3"/>
      <c r="F12" s="217"/>
      <c r="G12" s="3"/>
      <c r="H12" s="217"/>
      <c r="I12" s="3"/>
      <c r="J12" s="217"/>
      <c r="K12" s="3"/>
      <c r="L12" s="217"/>
      <c r="M12" s="3"/>
      <c r="N12" s="13" t="s">
        <v>25</v>
      </c>
      <c r="O12" s="3"/>
    </row>
    <row r="13" spans="1:20" ht="53.25">
      <c r="A13" s="17" t="s">
        <v>26</v>
      </c>
      <c r="B13" s="18">
        <f>'Calculation 2'!C11</f>
        <v>706.19588957270503</v>
      </c>
      <c r="C13" s="3"/>
      <c r="D13" s="18">
        <f>'Calculation 2'!C12</f>
        <v>86369.741212496723</v>
      </c>
      <c r="E13" s="3"/>
      <c r="F13" s="200">
        <f>'Calculation 2'!C13</f>
        <v>59110.708509041819</v>
      </c>
      <c r="G13" s="3"/>
      <c r="H13" s="18">
        <f>'Calculation 2'!C14</f>
        <v>61570.397389216021</v>
      </c>
      <c r="I13" s="3"/>
      <c r="J13" s="18">
        <f>'Calculation 2'!C15</f>
        <v>18085.12746848731</v>
      </c>
      <c r="K13" s="3"/>
      <c r="L13" s="18">
        <f>'Calculation 2'!C16</f>
        <v>24157.829531185449</v>
      </c>
      <c r="M13" s="3"/>
      <c r="N13" s="201">
        <f>B13+D13+F13+H13+J13+L13</f>
        <v>250000.00000000003</v>
      </c>
      <c r="O13" s="3"/>
    </row>
    <row r="14" spans="1:20" ht="12.7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0" ht="12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21" spans="4:4" ht="12.75">
      <c r="D21" s="20"/>
    </row>
  </sheetData>
  <mergeCells count="9">
    <mergeCell ref="J11:J12"/>
    <mergeCell ref="L11:L12"/>
    <mergeCell ref="G1:J1"/>
    <mergeCell ref="P2:T2"/>
    <mergeCell ref="A11:A12"/>
    <mergeCell ref="B11:B12"/>
    <mergeCell ref="D11:D12"/>
    <mergeCell ref="F11:F12"/>
    <mergeCell ref="H11:H1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47"/>
  <sheetViews>
    <sheetView showGridLines="0" topLeftCell="A13" workbookViewId="0">
      <selection activeCell="A30" sqref="A30:XFD30"/>
    </sheetView>
  </sheetViews>
  <sheetFormatPr defaultColWidth="12.5703125" defaultRowHeight="15.75" customHeight="1"/>
  <cols>
    <col min="1" max="1" width="4.28515625" customWidth="1"/>
  </cols>
  <sheetData>
    <row r="1" spans="1:21" ht="12.75">
      <c r="A1" s="3"/>
      <c r="B1" s="46" t="s">
        <v>142</v>
      </c>
      <c r="C1" s="47"/>
      <c r="D1" s="47"/>
      <c r="E1" s="47"/>
      <c r="F1" s="47"/>
      <c r="G1" s="47"/>
      <c r="H1" s="47"/>
      <c r="I1" s="48"/>
      <c r="J1" s="3"/>
      <c r="Q1" s="2"/>
    </row>
    <row r="2" spans="1:21" ht="12.75">
      <c r="A2" s="3"/>
      <c r="B2" s="27"/>
      <c r="C2" s="49"/>
      <c r="D2" s="3"/>
      <c r="E2" s="49"/>
      <c r="F2" s="49"/>
      <c r="G2" s="3"/>
      <c r="H2" s="49"/>
      <c r="I2" s="50"/>
      <c r="J2" s="3"/>
      <c r="Q2" s="52"/>
      <c r="R2" s="52"/>
      <c r="S2" s="52"/>
      <c r="T2" s="52"/>
      <c r="U2" s="52"/>
    </row>
    <row r="3" spans="1:21" ht="12.75">
      <c r="A3" s="3"/>
      <c r="B3" s="260" t="s">
        <v>143</v>
      </c>
      <c r="C3" s="217"/>
      <c r="D3" s="3"/>
      <c r="E3" s="233" t="s">
        <v>144</v>
      </c>
      <c r="F3" s="217"/>
      <c r="G3" s="3"/>
      <c r="H3" s="233" t="s">
        <v>145</v>
      </c>
      <c r="I3" s="239"/>
      <c r="J3" s="3"/>
      <c r="Q3" s="52"/>
      <c r="R3" s="52"/>
      <c r="S3" s="52"/>
      <c r="T3" s="52"/>
      <c r="U3" s="52"/>
    </row>
    <row r="4" spans="1:21" ht="12.75">
      <c r="A4" s="3"/>
      <c r="B4" s="29"/>
      <c r="C4" s="54">
        <f>'9. Project 1-Assumption'!C21</f>
        <v>4.5</v>
      </c>
      <c r="D4" s="3"/>
      <c r="E4" s="49"/>
      <c r="F4" s="55">
        <f>'9. Project 1-Assumption'!C29</f>
        <v>11340</v>
      </c>
      <c r="G4" s="3"/>
      <c r="H4" s="49"/>
      <c r="I4" s="56">
        <f>'9. Project 1-Assumption'!C33</f>
        <v>16.216200000000001</v>
      </c>
      <c r="J4" s="3"/>
      <c r="Q4" s="52"/>
      <c r="R4" s="52"/>
      <c r="S4" s="52"/>
      <c r="T4" s="52"/>
      <c r="U4" s="52"/>
    </row>
    <row r="5" spans="1:21" ht="12.75">
      <c r="A5" s="3"/>
      <c r="B5" s="29"/>
      <c r="C5" s="52"/>
      <c r="D5" s="3"/>
      <c r="E5" s="49"/>
      <c r="F5" s="49"/>
      <c r="G5" s="3"/>
      <c r="H5" s="49"/>
      <c r="I5" s="50"/>
      <c r="J5" s="3"/>
      <c r="Q5" s="52"/>
      <c r="R5" s="52"/>
      <c r="S5" s="52"/>
      <c r="T5" s="52"/>
      <c r="U5" s="52"/>
    </row>
    <row r="6" spans="1:21" ht="12.75">
      <c r="A6" s="3"/>
      <c r="B6" s="29"/>
      <c r="C6" s="52"/>
      <c r="D6" s="3"/>
      <c r="E6" s="49"/>
      <c r="F6" s="49"/>
      <c r="G6" s="3"/>
      <c r="H6" s="49"/>
      <c r="I6" s="50"/>
      <c r="J6" s="3"/>
      <c r="Q6" s="52"/>
      <c r="R6" s="52"/>
      <c r="S6" s="52"/>
      <c r="T6" s="52"/>
      <c r="U6" s="52"/>
    </row>
    <row r="7" spans="1:21" ht="12.75">
      <c r="A7" s="3"/>
      <c r="B7" s="29"/>
      <c r="C7" s="52"/>
      <c r="D7" s="3"/>
      <c r="E7" s="49"/>
      <c r="F7" s="49"/>
      <c r="G7" s="3"/>
      <c r="H7" s="49"/>
      <c r="I7" s="50"/>
      <c r="J7" s="3"/>
      <c r="Q7" s="52"/>
      <c r="R7" s="52"/>
      <c r="S7" s="52"/>
      <c r="T7" s="52"/>
      <c r="U7" s="52"/>
    </row>
    <row r="8" spans="1:21" ht="12.75">
      <c r="A8" s="3"/>
      <c r="B8" s="57" t="s">
        <v>146</v>
      </c>
      <c r="C8" s="58"/>
      <c r="D8" s="59"/>
      <c r="E8" s="60"/>
      <c r="F8" s="60"/>
      <c r="G8" s="59"/>
      <c r="H8" s="60"/>
      <c r="I8" s="61"/>
      <c r="J8" s="3"/>
      <c r="Q8" s="52"/>
      <c r="R8" s="52"/>
      <c r="S8" s="52"/>
      <c r="T8" s="52"/>
      <c r="U8" s="52"/>
    </row>
    <row r="9" spans="1:21" ht="12.75">
      <c r="A9" s="3"/>
      <c r="B9" s="29"/>
      <c r="C9" s="52"/>
      <c r="D9" s="3"/>
      <c r="E9" s="49"/>
      <c r="F9" s="49"/>
      <c r="G9" s="3"/>
      <c r="H9" s="49"/>
      <c r="I9" s="50"/>
      <c r="J9" s="3"/>
      <c r="Q9" s="52"/>
      <c r="R9" s="52"/>
      <c r="S9" s="52"/>
      <c r="T9" s="52"/>
      <c r="U9" s="52"/>
    </row>
    <row r="10" spans="1:21" ht="12.75">
      <c r="A10" s="3"/>
      <c r="B10" s="208" t="s">
        <v>147</v>
      </c>
      <c r="C10" s="204"/>
      <c r="D10" s="3"/>
      <c r="E10" s="233" t="s">
        <v>148</v>
      </c>
      <c r="F10" s="217"/>
      <c r="G10" s="3"/>
      <c r="H10" s="233" t="s">
        <v>149</v>
      </c>
      <c r="I10" s="239"/>
      <c r="J10" s="3"/>
      <c r="Q10" s="52"/>
      <c r="R10" s="52"/>
      <c r="S10" s="52"/>
      <c r="T10" s="52"/>
      <c r="U10" s="52"/>
    </row>
    <row r="11" spans="1:21" ht="12.75">
      <c r="A11" s="3"/>
      <c r="B11" s="29"/>
      <c r="C11" s="54">
        <f>'9. Project 1-Assumption'!C3</f>
        <v>120</v>
      </c>
      <c r="D11" s="3"/>
      <c r="E11" s="49"/>
      <c r="F11" s="156">
        <f>'9. Project 1-Assumption'!C34</f>
        <v>1</v>
      </c>
      <c r="G11" s="3"/>
      <c r="H11" s="49"/>
      <c r="I11" s="56">
        <f>'9. Project 1-Assumption'!M22</f>
        <v>16.216200000000001</v>
      </c>
      <c r="J11" s="3"/>
      <c r="Q11" s="6"/>
      <c r="R11" s="6"/>
      <c r="S11" s="6"/>
      <c r="T11" s="6"/>
      <c r="U11" s="6"/>
    </row>
    <row r="12" spans="1:21" ht="12.75">
      <c r="A12" s="3"/>
      <c r="B12" s="29"/>
      <c r="C12" s="52"/>
      <c r="D12" s="3"/>
      <c r="E12" s="49"/>
      <c r="F12" s="49"/>
      <c r="G12" s="3"/>
      <c r="H12" s="49"/>
      <c r="I12" s="50"/>
      <c r="J12" s="3"/>
      <c r="Q12" s="6"/>
      <c r="R12" s="6"/>
      <c r="S12" s="6"/>
      <c r="T12" s="6"/>
      <c r="U12" s="6"/>
    </row>
    <row r="13" spans="1:21" ht="12.75">
      <c r="A13" s="3"/>
      <c r="B13" s="29"/>
      <c r="C13" s="52"/>
      <c r="D13" s="3"/>
      <c r="E13" s="49"/>
      <c r="F13" s="49"/>
      <c r="G13" s="3"/>
      <c r="H13" s="49"/>
      <c r="I13" s="50"/>
      <c r="J13" s="3"/>
    </row>
    <row r="14" spans="1:21" ht="12.75">
      <c r="A14" s="3"/>
      <c r="B14" s="29"/>
      <c r="C14" s="52"/>
      <c r="D14" s="3"/>
      <c r="E14" s="49"/>
      <c r="F14" s="49"/>
      <c r="G14" s="3"/>
      <c r="H14" s="49"/>
      <c r="I14" s="50"/>
      <c r="J14" s="3"/>
    </row>
    <row r="15" spans="1:21" ht="12.75">
      <c r="A15" s="3"/>
      <c r="B15" s="51"/>
      <c r="C15" s="64"/>
      <c r="D15" s="110"/>
      <c r="E15" s="245" t="s">
        <v>150</v>
      </c>
      <c r="F15" s="245"/>
      <c r="G15" s="110"/>
      <c r="H15" s="157"/>
      <c r="I15" s="158"/>
      <c r="J15" s="3"/>
      <c r="Q15" s="2"/>
    </row>
    <row r="16" spans="1:21" ht="27.75" customHeight="1">
      <c r="A16" s="3"/>
      <c r="B16" s="260" t="s">
        <v>147</v>
      </c>
      <c r="C16" s="261"/>
      <c r="D16" s="3"/>
      <c r="E16" s="257"/>
      <c r="F16" s="257"/>
      <c r="G16" s="3"/>
      <c r="H16" s="233" t="s">
        <v>151</v>
      </c>
      <c r="I16" s="239"/>
      <c r="J16" s="3"/>
      <c r="Q16" s="52"/>
      <c r="R16" s="52"/>
      <c r="S16" s="52"/>
      <c r="T16" s="52"/>
      <c r="U16" s="52"/>
    </row>
    <row r="17" spans="1:21" ht="12.75">
      <c r="A17" s="3"/>
      <c r="B17" s="65"/>
      <c r="C17" s="54">
        <f>'9. Project 1-Assumption'!C3</f>
        <v>120</v>
      </c>
      <c r="D17" s="3"/>
      <c r="E17" s="3"/>
      <c r="F17" s="55">
        <f>'9. Project 1-Assumption'!C15</f>
        <v>2271360</v>
      </c>
      <c r="G17" s="3"/>
      <c r="H17" s="3"/>
      <c r="I17" s="56">
        <f>'9. Project 1-Assumption'!C16</f>
        <v>1377.05856288</v>
      </c>
      <c r="J17" s="3"/>
      <c r="Q17" s="52"/>
      <c r="R17" s="52"/>
      <c r="S17" s="52"/>
      <c r="T17" s="52"/>
      <c r="U17" s="52"/>
    </row>
    <row r="18" spans="1:21" ht="12.75">
      <c r="A18" s="3"/>
      <c r="B18" s="65"/>
      <c r="C18" s="3"/>
      <c r="D18" s="3"/>
      <c r="E18" s="3"/>
      <c r="F18" s="3"/>
      <c r="G18" s="3"/>
      <c r="H18" s="3"/>
      <c r="I18" s="53"/>
      <c r="J18" s="3"/>
      <c r="Q18" s="52"/>
      <c r="R18" s="52"/>
      <c r="S18" s="52"/>
      <c r="T18" s="52"/>
      <c r="U18" s="52"/>
    </row>
    <row r="19" spans="1:21" ht="12.75">
      <c r="A19" s="3"/>
      <c r="B19" s="65"/>
      <c r="C19" s="3"/>
      <c r="D19" s="3"/>
      <c r="E19" s="3"/>
      <c r="F19" s="3"/>
      <c r="G19" s="3"/>
      <c r="H19" s="3"/>
      <c r="I19" s="53"/>
      <c r="J19" s="3"/>
      <c r="Q19" s="52"/>
      <c r="R19" s="52"/>
      <c r="S19" s="52"/>
      <c r="T19" s="52"/>
      <c r="U19" s="52"/>
    </row>
    <row r="20" spans="1:21" ht="12.75">
      <c r="A20" s="3"/>
      <c r="B20" s="65"/>
      <c r="C20" s="3"/>
      <c r="D20" s="3"/>
      <c r="E20" s="3"/>
      <c r="F20" s="3"/>
      <c r="G20" s="3"/>
      <c r="H20" s="3"/>
      <c r="I20" s="53"/>
      <c r="J20" s="3"/>
      <c r="Q20" s="52"/>
      <c r="R20" s="52"/>
      <c r="S20" s="52"/>
      <c r="T20" s="52"/>
      <c r="U20" s="52"/>
    </row>
    <row r="21" spans="1:21" ht="12.75">
      <c r="A21" s="3"/>
      <c r="B21" s="57" t="s">
        <v>152</v>
      </c>
      <c r="C21" s="59"/>
      <c r="D21" s="59"/>
      <c r="E21" s="110"/>
      <c r="F21" s="110"/>
      <c r="G21" s="59"/>
      <c r="H21" s="110"/>
      <c r="I21" s="159"/>
      <c r="J21" s="3"/>
      <c r="Q21" s="52"/>
      <c r="R21" s="52"/>
      <c r="S21" s="52"/>
      <c r="T21" s="52"/>
      <c r="U21" s="52"/>
    </row>
    <row r="22" spans="1:21" ht="12.75" customHeight="1">
      <c r="A22" s="3"/>
      <c r="B22" s="208" t="s">
        <v>147</v>
      </c>
      <c r="C22" s="204"/>
      <c r="D22" s="3"/>
      <c r="E22" s="245" t="s">
        <v>153</v>
      </c>
      <c r="F22" s="245"/>
      <c r="G22" s="3"/>
      <c r="H22" s="245" t="s">
        <v>154</v>
      </c>
      <c r="I22" s="262"/>
      <c r="J22" s="3"/>
      <c r="Q22" s="52"/>
      <c r="R22" s="52"/>
      <c r="S22" s="52"/>
      <c r="T22" s="52"/>
      <c r="U22" s="52"/>
    </row>
    <row r="23" spans="1:21" s="204" customFormat="1" ht="12.75">
      <c r="A23" s="3"/>
      <c r="B23" s="208"/>
      <c r="D23" s="3"/>
      <c r="E23" s="247"/>
      <c r="F23" s="247"/>
      <c r="G23" s="3"/>
      <c r="H23" s="247"/>
      <c r="I23" s="263"/>
      <c r="J23" s="3"/>
      <c r="Q23" s="209"/>
      <c r="R23" s="209"/>
      <c r="S23" s="209"/>
      <c r="T23" s="209"/>
      <c r="U23" s="209"/>
    </row>
    <row r="24" spans="1:21" s="204" customFormat="1" ht="12.75">
      <c r="A24" s="3"/>
      <c r="B24" s="208"/>
      <c r="D24" s="3"/>
      <c r="E24" s="247"/>
      <c r="F24" s="247"/>
      <c r="G24" s="3"/>
      <c r="H24" s="247"/>
      <c r="I24" s="263"/>
      <c r="J24" s="3"/>
      <c r="Q24" s="209"/>
      <c r="R24" s="209"/>
      <c r="S24" s="209"/>
      <c r="T24" s="209"/>
      <c r="U24" s="209"/>
    </row>
    <row r="25" spans="1:21" ht="12.75">
      <c r="A25" s="3"/>
      <c r="B25" s="65"/>
      <c r="C25" s="54">
        <f>'9. Project 1-Assumption'!C3</f>
        <v>120</v>
      </c>
      <c r="D25" s="3"/>
      <c r="E25" s="3"/>
      <c r="F25" s="156">
        <f>'9. Project 1-Assumption'!C13</f>
        <v>1</v>
      </c>
      <c r="G25" s="3"/>
      <c r="H25" s="3"/>
      <c r="I25" s="56">
        <f>'9. Project 1-Assumption'!M4</f>
        <v>1377.05856288</v>
      </c>
      <c r="J25" s="3"/>
      <c r="Q25" s="6"/>
      <c r="R25" s="6"/>
      <c r="S25" s="6"/>
      <c r="T25" s="6"/>
      <c r="U25" s="6"/>
    </row>
    <row r="26" spans="1:21" ht="12.75">
      <c r="A26" s="3"/>
      <c r="B26" s="65"/>
      <c r="C26" s="3"/>
      <c r="D26" s="3"/>
      <c r="E26" s="3"/>
      <c r="F26" s="3"/>
      <c r="G26" s="3"/>
      <c r="H26" s="3"/>
      <c r="I26" s="53"/>
      <c r="J26" s="3"/>
      <c r="Q26" s="6"/>
      <c r="R26" s="6"/>
      <c r="S26" s="6"/>
      <c r="T26" s="6"/>
      <c r="U26" s="6"/>
    </row>
    <row r="27" spans="1:21" ht="12.75">
      <c r="A27" s="3"/>
      <c r="B27" s="65"/>
      <c r="C27" s="3"/>
      <c r="D27" s="3"/>
      <c r="E27" s="3"/>
      <c r="F27" s="3"/>
      <c r="G27" s="3"/>
      <c r="H27" s="3"/>
      <c r="I27" s="53"/>
      <c r="J27" s="3"/>
      <c r="Q27" s="6"/>
      <c r="R27" s="6"/>
      <c r="S27" s="6"/>
      <c r="T27" s="6"/>
      <c r="U27" s="6"/>
    </row>
    <row r="28" spans="1:21" ht="12.75">
      <c r="A28" s="3"/>
      <c r="B28" s="66"/>
      <c r="C28" s="67"/>
      <c r="D28" s="67"/>
      <c r="E28" s="67"/>
      <c r="F28" s="67"/>
      <c r="G28" s="67"/>
      <c r="H28" s="67"/>
      <c r="I28" s="63"/>
      <c r="J28" s="3"/>
    </row>
    <row r="29" spans="1:21" ht="12.7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21" ht="12.75">
      <c r="A30" s="3"/>
      <c r="B30" s="46" t="s">
        <v>155</v>
      </c>
      <c r="C30" s="47"/>
      <c r="D30" s="47"/>
      <c r="E30" s="47"/>
      <c r="F30" s="47"/>
      <c r="G30" s="47"/>
      <c r="H30" s="160"/>
      <c r="I30" s="161"/>
      <c r="J30" s="3"/>
      <c r="Q30" s="52"/>
    </row>
    <row r="31" spans="1:21" ht="12.75" customHeight="1">
      <c r="A31" s="3"/>
      <c r="B31" s="260" t="s">
        <v>156</v>
      </c>
      <c r="C31" s="217"/>
      <c r="D31" s="3"/>
      <c r="E31" s="245" t="s">
        <v>157</v>
      </c>
      <c r="F31" s="245"/>
      <c r="G31" s="3"/>
      <c r="H31" s="257" t="s">
        <v>158</v>
      </c>
      <c r="I31" s="263"/>
      <c r="J31" s="3"/>
      <c r="Q31" s="6"/>
      <c r="R31" s="6"/>
      <c r="S31" s="6"/>
      <c r="T31" s="6"/>
      <c r="U31" s="6"/>
    </row>
    <row r="32" spans="1:21" s="204" customFormat="1" ht="12.75">
      <c r="A32" s="3"/>
      <c r="B32" s="207"/>
      <c r="D32" s="3"/>
      <c r="E32" s="257"/>
      <c r="F32" s="257"/>
      <c r="G32" s="3"/>
      <c r="H32" s="257"/>
      <c r="I32" s="263"/>
      <c r="J32" s="3"/>
      <c r="Q32" s="6"/>
      <c r="R32" s="6"/>
      <c r="S32" s="6"/>
      <c r="T32" s="6"/>
      <c r="U32" s="6"/>
    </row>
    <row r="33" spans="1:21" s="204" customFormat="1" ht="12.75">
      <c r="A33" s="3"/>
      <c r="B33" s="207"/>
      <c r="D33" s="3"/>
      <c r="E33" s="257"/>
      <c r="F33" s="257"/>
      <c r="G33" s="3"/>
      <c r="H33" s="257"/>
      <c r="I33" s="263"/>
      <c r="J33" s="3"/>
      <c r="Q33" s="6"/>
      <c r="R33" s="6"/>
      <c r="S33" s="6"/>
      <c r="T33" s="6"/>
      <c r="U33" s="6"/>
    </row>
    <row r="34" spans="1:21" ht="12.75">
      <c r="A34" s="3"/>
      <c r="B34" s="65"/>
      <c r="C34" s="54">
        <f>'9. Project 1-Assumption'!C42</f>
        <v>600</v>
      </c>
      <c r="D34" s="3"/>
      <c r="E34" s="3"/>
      <c r="F34" s="156">
        <f>'9. Project 1-Assumption'!C43</f>
        <v>0.5</v>
      </c>
      <c r="G34" s="3"/>
      <c r="H34" s="3"/>
      <c r="I34" s="162">
        <f>'9. Project 1-Assumption'!C51</f>
        <v>1421.9799</v>
      </c>
      <c r="J34" s="3"/>
      <c r="Q34" s="6"/>
      <c r="R34" s="6"/>
      <c r="S34" s="6"/>
      <c r="T34" s="6"/>
      <c r="U34" s="6"/>
    </row>
    <row r="35" spans="1:21" ht="12.75">
      <c r="A35" s="3"/>
      <c r="B35" s="65"/>
      <c r="C35" s="3"/>
      <c r="D35" s="3"/>
      <c r="E35" s="3"/>
      <c r="F35" s="3"/>
      <c r="G35" s="3"/>
      <c r="H35" s="3"/>
      <c r="I35" s="53"/>
      <c r="J35" s="3"/>
      <c r="Q35" s="6"/>
      <c r="R35" s="6"/>
      <c r="S35" s="6"/>
      <c r="T35" s="6"/>
      <c r="U35" s="6"/>
    </row>
    <row r="36" spans="1:21" ht="12.75">
      <c r="A36" s="3"/>
      <c r="B36" s="65"/>
      <c r="C36" s="3"/>
      <c r="D36" s="3"/>
      <c r="E36" s="3"/>
      <c r="F36" s="3"/>
      <c r="G36" s="3"/>
      <c r="H36" s="3"/>
      <c r="I36" s="53"/>
      <c r="J36" s="3"/>
      <c r="Q36" s="6"/>
      <c r="R36" s="6"/>
      <c r="S36" s="6"/>
      <c r="T36" s="6"/>
      <c r="U36" s="6"/>
    </row>
    <row r="37" spans="1:21" ht="12.75">
      <c r="A37" s="3"/>
      <c r="B37" s="65"/>
      <c r="C37" s="3"/>
      <c r="D37" s="3"/>
      <c r="E37" s="3"/>
      <c r="F37" s="3"/>
      <c r="G37" s="3"/>
      <c r="H37" s="3"/>
      <c r="I37" s="53"/>
      <c r="J37" s="3"/>
      <c r="Q37" s="6"/>
      <c r="R37" s="6"/>
      <c r="S37" s="6"/>
      <c r="T37" s="6"/>
      <c r="U37" s="6"/>
    </row>
    <row r="38" spans="1:21" ht="12.75">
      <c r="A38" s="3"/>
      <c r="B38" s="57" t="s">
        <v>146</v>
      </c>
      <c r="C38" s="59"/>
      <c r="D38" s="59"/>
      <c r="E38" s="59"/>
      <c r="F38" s="59"/>
      <c r="G38" s="59"/>
      <c r="H38" s="59"/>
      <c r="I38" s="163"/>
      <c r="J38" s="3"/>
      <c r="Q38" s="6"/>
      <c r="R38" s="6"/>
      <c r="S38" s="6"/>
      <c r="T38" s="6"/>
      <c r="U38" s="6"/>
    </row>
    <row r="39" spans="1:21" ht="12.75">
      <c r="A39" s="3"/>
      <c r="B39" s="65"/>
      <c r="C39" s="3"/>
      <c r="D39" s="3"/>
      <c r="E39" s="245" t="s">
        <v>160</v>
      </c>
      <c r="F39" s="245"/>
      <c r="G39" s="3"/>
      <c r="H39" s="245" t="s">
        <v>161</v>
      </c>
      <c r="I39" s="262"/>
      <c r="J39" s="3"/>
      <c r="Q39" s="6"/>
      <c r="R39" s="6"/>
      <c r="S39" s="6"/>
      <c r="T39" s="6"/>
      <c r="U39" s="6"/>
    </row>
    <row r="40" spans="1:21" ht="12.75" customHeight="1">
      <c r="A40" s="3"/>
      <c r="B40" s="260" t="s">
        <v>159</v>
      </c>
      <c r="C40" s="217"/>
      <c r="D40" s="3"/>
      <c r="E40" s="257"/>
      <c r="F40" s="257"/>
      <c r="G40" s="3"/>
      <c r="H40" s="257"/>
      <c r="I40" s="263"/>
      <c r="J40" s="3"/>
      <c r="Q40" s="6"/>
      <c r="R40" s="6"/>
      <c r="S40" s="6"/>
      <c r="T40" s="6"/>
      <c r="U40" s="6"/>
    </row>
    <row r="41" spans="1:21" ht="12.75">
      <c r="A41" s="3"/>
      <c r="B41" s="65"/>
      <c r="C41" s="164">
        <f>'9. Project 1-Assumption'!C42</f>
        <v>600</v>
      </c>
      <c r="D41" s="3"/>
      <c r="E41" s="3"/>
      <c r="F41" s="156">
        <f>'9. Project 1-Assumption'!C44</f>
        <v>0.35</v>
      </c>
      <c r="G41" s="3"/>
      <c r="H41" s="3"/>
      <c r="I41" s="162">
        <f>'9. Project 1-Assumption'!M41</f>
        <v>995.38592999999992</v>
      </c>
      <c r="J41" s="3"/>
      <c r="Q41" s="6"/>
      <c r="R41" s="6"/>
      <c r="S41" s="6"/>
      <c r="T41" s="6"/>
      <c r="U41" s="6"/>
    </row>
    <row r="42" spans="1:21" ht="12.75">
      <c r="A42" s="3"/>
      <c r="B42" s="65"/>
      <c r="C42" s="3"/>
      <c r="D42" s="3"/>
      <c r="E42" s="3"/>
      <c r="F42" s="3"/>
      <c r="G42" s="3"/>
      <c r="H42" s="3"/>
      <c r="I42" s="53"/>
      <c r="J42" s="3"/>
      <c r="Q42" s="6"/>
      <c r="R42" s="6"/>
      <c r="S42" s="6"/>
      <c r="T42" s="6"/>
      <c r="U42" s="6"/>
    </row>
    <row r="43" spans="1:21" ht="12.75">
      <c r="A43" s="3"/>
      <c r="B43" s="65"/>
      <c r="C43" s="3"/>
      <c r="D43" s="3"/>
      <c r="E43" s="3"/>
      <c r="F43" s="3"/>
      <c r="G43" s="3"/>
      <c r="H43" s="3"/>
      <c r="I43" s="53"/>
      <c r="J43" s="3"/>
      <c r="Q43" s="6"/>
      <c r="R43" s="6"/>
      <c r="S43" s="6"/>
      <c r="T43" s="6"/>
      <c r="U43" s="6"/>
    </row>
    <row r="44" spans="1:21" ht="12.75">
      <c r="A44" s="3"/>
      <c r="B44" s="66"/>
      <c r="C44" s="67"/>
      <c r="D44" s="67"/>
      <c r="E44" s="67"/>
      <c r="F44" s="67"/>
      <c r="G44" s="67"/>
      <c r="H44" s="67"/>
      <c r="I44" s="63"/>
      <c r="J44" s="3"/>
      <c r="Q44" s="6"/>
      <c r="R44" s="6"/>
      <c r="S44" s="6"/>
      <c r="T44" s="6"/>
      <c r="U44" s="6"/>
    </row>
    <row r="45" spans="1:21" ht="12.7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21" ht="12.7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21" ht="12.75">
      <c r="B47" s="68"/>
      <c r="C47" s="69"/>
      <c r="D47" s="69"/>
      <c r="E47" s="69"/>
      <c r="F47" s="69"/>
      <c r="G47" s="69"/>
      <c r="H47" s="69"/>
      <c r="I47" s="69"/>
    </row>
  </sheetData>
  <mergeCells count="16">
    <mergeCell ref="B3:C3"/>
    <mergeCell ref="E3:F3"/>
    <mergeCell ref="H3:I3"/>
    <mergeCell ref="E10:F10"/>
    <mergeCell ref="H10:I10"/>
    <mergeCell ref="B31:C31"/>
    <mergeCell ref="B40:C40"/>
    <mergeCell ref="E31:F33"/>
    <mergeCell ref="H31:I33"/>
    <mergeCell ref="E39:F40"/>
    <mergeCell ref="H39:I40"/>
    <mergeCell ref="H16:I16"/>
    <mergeCell ref="B16:C16"/>
    <mergeCell ref="E15:F16"/>
    <mergeCell ref="E22:F24"/>
    <mergeCell ref="H22:I2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35"/>
  <sheetViews>
    <sheetView showGridLines="0" topLeftCell="A13" workbookViewId="0">
      <selection activeCell="J29" sqref="J29"/>
    </sheetView>
  </sheetViews>
  <sheetFormatPr defaultColWidth="12.5703125" defaultRowHeight="15.75" customHeight="1"/>
  <cols>
    <col min="1" max="1" width="4" customWidth="1"/>
  </cols>
  <sheetData>
    <row r="1" spans="1:21" ht="12.75">
      <c r="A1" s="3"/>
      <c r="B1" s="46" t="s">
        <v>162</v>
      </c>
      <c r="C1" s="47"/>
      <c r="D1" s="47"/>
      <c r="E1" s="47"/>
      <c r="F1" s="47"/>
      <c r="G1" s="47"/>
      <c r="H1" s="47"/>
      <c r="I1" s="48"/>
      <c r="J1" s="3"/>
      <c r="Q1" s="2" t="s">
        <v>0</v>
      </c>
    </row>
    <row r="2" spans="1:21" ht="12.75">
      <c r="A2" s="3"/>
      <c r="B2" s="51"/>
      <c r="C2" s="64"/>
      <c r="D2" s="110"/>
      <c r="E2" s="245" t="s">
        <v>150</v>
      </c>
      <c r="F2" s="245"/>
      <c r="G2" s="110"/>
      <c r="H2" s="157"/>
      <c r="I2" s="158"/>
      <c r="J2" s="3"/>
      <c r="Q2" s="52"/>
      <c r="R2" s="52"/>
      <c r="S2" s="52"/>
      <c r="T2" s="52"/>
      <c r="U2" s="52"/>
    </row>
    <row r="3" spans="1:21" ht="27.75" customHeight="1">
      <c r="A3" s="3"/>
      <c r="B3" s="260" t="s">
        <v>147</v>
      </c>
      <c r="C3" s="261"/>
      <c r="D3" s="3"/>
      <c r="E3" s="257"/>
      <c r="F3" s="257"/>
      <c r="G3" s="3"/>
      <c r="H3" s="233" t="s">
        <v>151</v>
      </c>
      <c r="I3" s="239"/>
      <c r="J3" s="3"/>
      <c r="Q3" s="52"/>
      <c r="R3" s="52"/>
      <c r="S3" s="52"/>
      <c r="T3" s="52"/>
      <c r="U3" s="52"/>
    </row>
    <row r="4" spans="1:21" ht="12.75">
      <c r="A4" s="3"/>
      <c r="B4" s="65"/>
      <c r="C4" s="54">
        <f>'10. Project 2-Assumption'!C3</f>
        <v>40</v>
      </c>
      <c r="D4" s="3"/>
      <c r="E4" s="3"/>
      <c r="F4" s="55">
        <f>'10. Project 2-Assumption'!C17</f>
        <v>863441.86046511633</v>
      </c>
      <c r="G4" s="3"/>
      <c r="H4" s="3"/>
      <c r="I4" s="56">
        <f>'10. Project 2-Assumption'!C18</f>
        <v>523.4793284651164</v>
      </c>
      <c r="J4" s="3"/>
      <c r="Q4" s="52"/>
      <c r="R4" s="52"/>
      <c r="S4" s="52"/>
      <c r="T4" s="52"/>
      <c r="U4" s="52"/>
    </row>
    <row r="5" spans="1:21" ht="12.75">
      <c r="A5" s="3"/>
      <c r="B5" s="65"/>
      <c r="C5" s="3"/>
      <c r="D5" s="3"/>
      <c r="E5" s="3"/>
      <c r="F5" s="3"/>
      <c r="G5" s="3"/>
      <c r="H5" s="3"/>
      <c r="I5" s="53"/>
      <c r="J5" s="3"/>
      <c r="Q5" s="52"/>
      <c r="R5" s="52"/>
      <c r="S5" s="52"/>
      <c r="T5" s="52"/>
      <c r="U5" s="52"/>
    </row>
    <row r="6" spans="1:21" ht="12.75">
      <c r="A6" s="3"/>
      <c r="B6" s="65"/>
      <c r="C6" s="3"/>
      <c r="D6" s="3"/>
      <c r="E6" s="3"/>
      <c r="F6" s="3"/>
      <c r="G6" s="3"/>
      <c r="H6" s="3"/>
      <c r="I6" s="53"/>
      <c r="J6" s="3"/>
      <c r="Q6" s="52"/>
      <c r="R6" s="52"/>
      <c r="S6" s="52"/>
      <c r="T6" s="52"/>
      <c r="U6" s="52"/>
    </row>
    <row r="7" spans="1:21" ht="12.75">
      <c r="A7" s="3"/>
      <c r="B7" s="65"/>
      <c r="C7" s="3"/>
      <c r="D7" s="3"/>
      <c r="E7" s="3"/>
      <c r="F7" s="3"/>
      <c r="G7" s="3"/>
      <c r="H7" s="3"/>
      <c r="I7" s="53"/>
      <c r="J7" s="3"/>
      <c r="Q7" s="52"/>
      <c r="R7" s="52"/>
      <c r="S7" s="52"/>
      <c r="T7" s="52"/>
      <c r="U7" s="52"/>
    </row>
    <row r="8" spans="1:21" ht="12.75">
      <c r="A8" s="3"/>
      <c r="B8" s="57" t="s">
        <v>152</v>
      </c>
      <c r="C8" s="59"/>
      <c r="D8" s="59"/>
      <c r="E8" s="110"/>
      <c r="F8" s="110"/>
      <c r="G8" s="59"/>
      <c r="H8" s="110"/>
      <c r="I8" s="159"/>
      <c r="J8" s="3"/>
      <c r="Q8" s="52"/>
      <c r="R8" s="52"/>
      <c r="S8" s="52"/>
      <c r="T8" s="52"/>
      <c r="U8" s="52"/>
    </row>
    <row r="9" spans="1:21" ht="12.75" customHeight="1">
      <c r="A9" s="3"/>
      <c r="B9" s="208" t="s">
        <v>147</v>
      </c>
      <c r="C9" s="204"/>
      <c r="D9" s="3"/>
      <c r="E9" s="245" t="s">
        <v>153</v>
      </c>
      <c r="F9" s="245"/>
      <c r="G9" s="3"/>
      <c r="H9" s="245" t="s">
        <v>154</v>
      </c>
      <c r="I9" s="262"/>
      <c r="J9" s="3"/>
      <c r="Q9" s="52"/>
      <c r="R9" s="52"/>
      <c r="S9" s="52"/>
      <c r="T9" s="52"/>
      <c r="U9" s="52"/>
    </row>
    <row r="10" spans="1:21" s="204" customFormat="1" ht="12.75">
      <c r="A10" s="3"/>
      <c r="B10" s="208"/>
      <c r="D10" s="3"/>
      <c r="E10" s="247"/>
      <c r="F10" s="247"/>
      <c r="G10" s="3"/>
      <c r="H10" s="247"/>
      <c r="I10" s="263"/>
      <c r="J10" s="3"/>
      <c r="Q10" s="209"/>
      <c r="R10" s="209"/>
      <c r="S10" s="209"/>
      <c r="T10" s="209"/>
      <c r="U10" s="209"/>
    </row>
    <row r="11" spans="1:21" s="204" customFormat="1" ht="12.75">
      <c r="A11" s="3"/>
      <c r="B11" s="208"/>
      <c r="D11" s="3"/>
      <c r="E11" s="247"/>
      <c r="F11" s="247"/>
      <c r="G11" s="3"/>
      <c r="H11" s="247"/>
      <c r="I11" s="263"/>
      <c r="J11" s="3"/>
      <c r="Q11" s="209"/>
      <c r="R11" s="209"/>
      <c r="S11" s="209"/>
      <c r="T11" s="209"/>
      <c r="U11" s="209"/>
    </row>
    <row r="12" spans="1:21" ht="12.75">
      <c r="A12" s="3"/>
      <c r="B12" s="65"/>
      <c r="C12" s="54">
        <f>'10. Project 2-Assumption'!C3</f>
        <v>40</v>
      </c>
      <c r="D12" s="3"/>
      <c r="E12" s="3"/>
      <c r="F12" s="156">
        <f>'10. Project 2-Assumption'!C15</f>
        <v>1</v>
      </c>
      <c r="G12" s="3"/>
      <c r="H12" s="3"/>
      <c r="I12" s="56">
        <f>'10. Project 2-Assumption'!M4</f>
        <v>523.4793284651164</v>
      </c>
      <c r="J12" s="3"/>
      <c r="Q12" s="6"/>
      <c r="R12" s="6"/>
      <c r="S12" s="6"/>
      <c r="T12" s="6"/>
      <c r="U12" s="6"/>
    </row>
    <row r="13" spans="1:21" ht="12.75">
      <c r="A13" s="3"/>
      <c r="B13" s="65"/>
      <c r="C13" s="3"/>
      <c r="D13" s="3"/>
      <c r="E13" s="3"/>
      <c r="F13" s="3"/>
      <c r="G13" s="3"/>
      <c r="H13" s="3"/>
      <c r="I13" s="53"/>
      <c r="J13" s="3"/>
      <c r="Q13" s="6"/>
      <c r="R13" s="6"/>
      <c r="S13" s="6"/>
      <c r="T13" s="6"/>
      <c r="U13" s="6"/>
    </row>
    <row r="14" spans="1:21" ht="12.75">
      <c r="A14" s="3"/>
      <c r="B14" s="65"/>
      <c r="C14" s="3"/>
      <c r="D14" s="3"/>
      <c r="E14" s="3"/>
      <c r="F14" s="3"/>
      <c r="G14" s="3"/>
      <c r="H14" s="3"/>
      <c r="I14" s="53"/>
      <c r="J14" s="3"/>
    </row>
    <row r="15" spans="1:21" ht="12.75">
      <c r="A15" s="3"/>
      <c r="B15" s="66"/>
      <c r="C15" s="67"/>
      <c r="D15" s="67"/>
      <c r="E15" s="67"/>
      <c r="F15" s="67"/>
      <c r="G15" s="67"/>
      <c r="H15" s="67"/>
      <c r="I15" s="63"/>
      <c r="J15" s="3"/>
    </row>
    <row r="16" spans="1:21" ht="12.7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21" ht="12.75">
      <c r="A17" s="3"/>
      <c r="B17" s="46" t="s">
        <v>155</v>
      </c>
      <c r="C17" s="47"/>
      <c r="D17" s="47"/>
      <c r="E17" s="47"/>
      <c r="F17" s="47"/>
      <c r="G17" s="47"/>
      <c r="H17" s="160"/>
      <c r="I17" s="161"/>
      <c r="J17" s="3"/>
      <c r="Q17" s="2"/>
    </row>
    <row r="18" spans="1:21" ht="12.75" customHeight="1">
      <c r="A18" s="3"/>
      <c r="B18" s="260" t="s">
        <v>156</v>
      </c>
      <c r="C18" s="217"/>
      <c r="D18" s="3"/>
      <c r="E18" s="245" t="s">
        <v>157</v>
      </c>
      <c r="F18" s="245"/>
      <c r="G18" s="3"/>
      <c r="H18" s="257" t="s">
        <v>158</v>
      </c>
      <c r="I18" s="263"/>
      <c r="J18" s="3"/>
      <c r="Q18" s="52"/>
      <c r="R18" s="52"/>
      <c r="S18" s="52"/>
      <c r="T18" s="52"/>
      <c r="U18" s="52"/>
    </row>
    <row r="19" spans="1:21" s="204" customFormat="1" ht="12.75">
      <c r="A19" s="3"/>
      <c r="B19" s="207"/>
      <c r="D19" s="3"/>
      <c r="E19" s="257"/>
      <c r="F19" s="257"/>
      <c r="G19" s="3"/>
      <c r="H19" s="257"/>
      <c r="I19" s="263"/>
      <c r="J19" s="3"/>
      <c r="Q19" s="209"/>
      <c r="R19" s="209"/>
      <c r="S19" s="209"/>
      <c r="T19" s="209"/>
      <c r="U19" s="209"/>
    </row>
    <row r="20" spans="1:21" s="204" customFormat="1" ht="12.75">
      <c r="A20" s="3"/>
      <c r="B20" s="207"/>
      <c r="D20" s="3"/>
      <c r="E20" s="257"/>
      <c r="F20" s="257"/>
      <c r="G20" s="3"/>
      <c r="H20" s="257"/>
      <c r="I20" s="263"/>
      <c r="J20" s="3"/>
      <c r="Q20" s="209"/>
      <c r="R20" s="209"/>
      <c r="S20" s="209"/>
      <c r="T20" s="209"/>
      <c r="U20" s="209"/>
    </row>
    <row r="21" spans="1:21" ht="12.75">
      <c r="A21" s="3"/>
      <c r="B21" s="65"/>
      <c r="C21" s="54">
        <f>'10. Project 2-Assumption'!C26</f>
        <v>200</v>
      </c>
      <c r="D21" s="3"/>
      <c r="E21" s="3"/>
      <c r="F21" s="156">
        <f>'9. Project 1-Assumption'!C43</f>
        <v>0.5</v>
      </c>
      <c r="G21" s="3"/>
      <c r="H21" s="3"/>
      <c r="I21" s="162">
        <f>'10. Project 2-Assumption'!C35</f>
        <v>473.99329999999998</v>
      </c>
      <c r="J21" s="3"/>
      <c r="Q21" s="52"/>
      <c r="R21" s="52"/>
      <c r="S21" s="52"/>
      <c r="T21" s="52"/>
      <c r="U21" s="52"/>
    </row>
    <row r="22" spans="1:21" ht="12.75">
      <c r="A22" s="3"/>
      <c r="B22" s="65"/>
      <c r="C22" s="3"/>
      <c r="D22" s="3"/>
      <c r="E22" s="3"/>
      <c r="F22" s="3"/>
      <c r="G22" s="3"/>
      <c r="H22" s="3"/>
      <c r="I22" s="53"/>
      <c r="J22" s="3"/>
      <c r="Q22" s="52"/>
      <c r="R22" s="52"/>
      <c r="S22" s="52"/>
      <c r="T22" s="52"/>
      <c r="U22" s="52"/>
    </row>
    <row r="23" spans="1:21" ht="12.75">
      <c r="A23" s="3"/>
      <c r="B23" s="65"/>
      <c r="C23" s="3"/>
      <c r="D23" s="3"/>
      <c r="E23" s="3"/>
      <c r="F23" s="3"/>
      <c r="G23" s="3"/>
      <c r="H23" s="3"/>
      <c r="I23" s="53"/>
      <c r="J23" s="3"/>
      <c r="Q23" s="52"/>
      <c r="R23" s="52"/>
      <c r="S23" s="52"/>
      <c r="T23" s="52"/>
      <c r="U23" s="52"/>
    </row>
    <row r="24" spans="1:21" ht="12.75">
      <c r="A24" s="3"/>
      <c r="B24" s="65"/>
      <c r="C24" s="3"/>
      <c r="D24" s="3"/>
      <c r="E24" s="3"/>
      <c r="F24" s="3"/>
      <c r="G24" s="3"/>
      <c r="H24" s="3"/>
      <c r="I24" s="53"/>
      <c r="J24" s="3"/>
      <c r="Q24" s="52"/>
      <c r="R24" s="52"/>
      <c r="S24" s="52"/>
      <c r="T24" s="52"/>
      <c r="U24" s="52"/>
    </row>
    <row r="25" spans="1:21" ht="12.75">
      <c r="A25" s="3"/>
      <c r="B25" s="57" t="s">
        <v>146</v>
      </c>
      <c r="C25" s="59"/>
      <c r="D25" s="59"/>
      <c r="E25" s="59"/>
      <c r="F25" s="59"/>
      <c r="G25" s="59"/>
      <c r="H25" s="59"/>
      <c r="I25" s="163"/>
      <c r="J25" s="3"/>
      <c r="Q25" s="52"/>
      <c r="R25" s="52"/>
      <c r="S25" s="52"/>
      <c r="T25" s="52"/>
      <c r="U25" s="52"/>
    </row>
    <row r="26" spans="1:21" ht="12.75">
      <c r="A26" s="3"/>
      <c r="B26" s="65"/>
      <c r="C26" s="3"/>
      <c r="D26" s="3"/>
      <c r="E26" s="245" t="s">
        <v>160</v>
      </c>
      <c r="F26" s="245"/>
      <c r="G26" s="3"/>
      <c r="H26" s="245" t="s">
        <v>161</v>
      </c>
      <c r="I26" s="262"/>
      <c r="J26" s="3"/>
      <c r="Q26" s="52"/>
      <c r="R26" s="52"/>
      <c r="S26" s="52"/>
      <c r="T26" s="52"/>
      <c r="U26" s="52"/>
    </row>
    <row r="27" spans="1:21" s="204" customFormat="1" ht="12.75">
      <c r="A27" s="3"/>
      <c r="B27" s="206"/>
      <c r="C27" s="3"/>
      <c r="D27" s="3"/>
      <c r="E27" s="247"/>
      <c r="F27" s="247"/>
      <c r="G27" s="3"/>
      <c r="H27" s="247"/>
      <c r="I27" s="263"/>
      <c r="J27" s="3"/>
      <c r="Q27" s="209"/>
      <c r="R27" s="209"/>
      <c r="S27" s="209"/>
      <c r="T27" s="209"/>
      <c r="U27" s="209"/>
    </row>
    <row r="28" spans="1:21" ht="12.75" customHeight="1">
      <c r="A28" s="3"/>
      <c r="B28" s="260" t="s">
        <v>159</v>
      </c>
      <c r="C28" s="217"/>
      <c r="D28" s="3"/>
      <c r="E28" s="257"/>
      <c r="F28" s="257"/>
      <c r="G28" s="3"/>
      <c r="H28" s="257"/>
      <c r="I28" s="263"/>
      <c r="J28" s="3"/>
      <c r="Q28" s="52"/>
      <c r="R28" s="52"/>
      <c r="S28" s="52"/>
      <c r="T28" s="52"/>
      <c r="U28" s="52"/>
    </row>
    <row r="29" spans="1:21" ht="12.75">
      <c r="A29" s="3"/>
      <c r="B29" s="65"/>
      <c r="C29" s="164">
        <f>'10. Project 2-Assumption'!C26</f>
        <v>200</v>
      </c>
      <c r="D29" s="3"/>
      <c r="E29" s="3"/>
      <c r="F29" s="156">
        <f>'9. Project 1-Assumption'!C44</f>
        <v>0.35</v>
      </c>
      <c r="G29" s="3"/>
      <c r="H29" s="3"/>
      <c r="I29" s="162">
        <f>'10. Project 2-Assumption'!M25</f>
        <v>331.79530999999997</v>
      </c>
      <c r="J29" s="3"/>
      <c r="Q29" s="6"/>
      <c r="R29" s="6"/>
      <c r="S29" s="6"/>
      <c r="T29" s="6"/>
      <c r="U29" s="6"/>
    </row>
    <row r="30" spans="1:21" ht="12.75">
      <c r="A30" s="3"/>
      <c r="B30" s="65"/>
      <c r="C30" s="3"/>
      <c r="D30" s="3"/>
      <c r="E30" s="3"/>
      <c r="F30" s="3"/>
      <c r="G30" s="3"/>
      <c r="H30" s="3"/>
      <c r="I30" s="53"/>
      <c r="J30" s="3"/>
      <c r="Q30" s="6"/>
      <c r="R30" s="6"/>
      <c r="S30" s="6"/>
      <c r="T30" s="6"/>
      <c r="U30" s="6"/>
    </row>
    <row r="31" spans="1:21" ht="12.75">
      <c r="A31" s="3"/>
      <c r="B31" s="65"/>
      <c r="C31" s="3"/>
      <c r="D31" s="3"/>
      <c r="E31" s="3"/>
      <c r="F31" s="3"/>
      <c r="G31" s="3"/>
      <c r="H31" s="3"/>
      <c r="I31" s="53"/>
      <c r="J31" s="3"/>
      <c r="Q31" s="6"/>
      <c r="R31" s="6"/>
      <c r="S31" s="6"/>
      <c r="T31" s="6"/>
      <c r="U31" s="6"/>
    </row>
    <row r="32" spans="1:21" ht="12.75">
      <c r="A32" s="3"/>
      <c r="B32" s="66"/>
      <c r="C32" s="67"/>
      <c r="D32" s="67"/>
      <c r="E32" s="67"/>
      <c r="F32" s="67"/>
      <c r="G32" s="67"/>
      <c r="H32" s="67"/>
      <c r="I32" s="63"/>
      <c r="J32" s="3"/>
    </row>
    <row r="33" spans="1:10" ht="12.7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2.7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2.75">
      <c r="B35" s="68"/>
      <c r="C35" s="69"/>
      <c r="D35" s="69"/>
      <c r="E35" s="69"/>
      <c r="F35" s="69"/>
      <c r="G35" s="69"/>
      <c r="H35" s="69"/>
      <c r="I35" s="69"/>
    </row>
  </sheetData>
  <mergeCells count="11">
    <mergeCell ref="E26:F28"/>
    <mergeCell ref="H26:I28"/>
    <mergeCell ref="E18:F20"/>
    <mergeCell ref="H18:I20"/>
    <mergeCell ref="B18:C18"/>
    <mergeCell ref="B28:C28"/>
    <mergeCell ref="B3:C3"/>
    <mergeCell ref="H3:I3"/>
    <mergeCell ref="E2:F3"/>
    <mergeCell ref="E9:F11"/>
    <mergeCell ref="H9:I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49"/>
  <sheetViews>
    <sheetView showGridLines="0" topLeftCell="E5" workbookViewId="0">
      <selection activeCell="J28" sqref="J28"/>
    </sheetView>
  </sheetViews>
  <sheetFormatPr defaultColWidth="12.5703125" defaultRowHeight="15.75" customHeight="1"/>
  <cols>
    <col min="1" max="1" width="4.140625" customWidth="1"/>
    <col min="16" max="16" width="8.140625" customWidth="1"/>
  </cols>
  <sheetData>
    <row r="1" spans="1:21" ht="12.75">
      <c r="A1" s="3"/>
      <c r="B1" s="46" t="s">
        <v>142</v>
      </c>
      <c r="C1" s="47"/>
      <c r="D1" s="47"/>
      <c r="E1" s="47"/>
      <c r="F1" s="47"/>
      <c r="G1" s="47"/>
      <c r="H1" s="47"/>
      <c r="I1" s="48"/>
      <c r="J1" s="3"/>
      <c r="Q1" s="2"/>
    </row>
    <row r="2" spans="1:21" ht="12.75">
      <c r="A2" s="3"/>
      <c r="B2" s="27"/>
      <c r="C2" s="49"/>
      <c r="D2" s="3"/>
      <c r="E2" s="245" t="s">
        <v>144</v>
      </c>
      <c r="F2" s="245"/>
      <c r="G2" s="3"/>
      <c r="H2" s="245" t="s">
        <v>145</v>
      </c>
      <c r="I2" s="262"/>
      <c r="J2" s="3"/>
      <c r="Q2" s="52"/>
      <c r="R2" s="52"/>
      <c r="S2" s="52"/>
      <c r="T2" s="52"/>
      <c r="U2" s="52"/>
    </row>
    <row r="3" spans="1:21" ht="12.75" customHeight="1">
      <c r="A3" s="3"/>
      <c r="B3" s="260" t="s">
        <v>143</v>
      </c>
      <c r="C3" s="217"/>
      <c r="D3" s="3"/>
      <c r="E3" s="257"/>
      <c r="F3" s="257"/>
      <c r="G3" s="3"/>
      <c r="H3" s="257"/>
      <c r="I3" s="263"/>
      <c r="J3" s="3"/>
      <c r="Q3" s="52"/>
      <c r="R3" s="52"/>
      <c r="S3" s="52"/>
      <c r="T3" s="52"/>
      <c r="U3" s="52"/>
    </row>
    <row r="4" spans="1:21" ht="12.75">
      <c r="A4" s="3"/>
      <c r="B4" s="29"/>
      <c r="C4" s="54">
        <f>'11. Project 3-Assumption'!C3</f>
        <v>1</v>
      </c>
      <c r="D4" s="3"/>
      <c r="E4" s="49"/>
      <c r="F4" s="55">
        <f>'11. Project 3-Assumption'!C11</f>
        <v>2520</v>
      </c>
      <c r="G4" s="3"/>
      <c r="H4" s="49"/>
      <c r="I4" s="56">
        <f>'11. Project 3-Assumption'!C15</f>
        <v>3.6036000000000001</v>
      </c>
      <c r="J4" s="3"/>
      <c r="Q4" s="52"/>
      <c r="R4" s="52"/>
      <c r="S4" s="52"/>
      <c r="T4" s="52"/>
      <c r="U4" s="52"/>
    </row>
    <row r="5" spans="1:21" ht="12.75">
      <c r="A5" s="3"/>
      <c r="B5" s="29"/>
      <c r="C5" s="52"/>
      <c r="D5" s="3"/>
      <c r="E5" s="49"/>
      <c r="F5" s="49"/>
      <c r="G5" s="3"/>
      <c r="H5" s="49"/>
      <c r="I5" s="50"/>
      <c r="J5" s="3"/>
      <c r="Q5" s="52"/>
      <c r="R5" s="52"/>
      <c r="S5" s="52"/>
      <c r="T5" s="52"/>
      <c r="U5" s="52"/>
    </row>
    <row r="6" spans="1:21" ht="12.75">
      <c r="A6" s="3"/>
      <c r="B6" s="29"/>
      <c r="C6" s="52"/>
      <c r="D6" s="3"/>
      <c r="E6" s="49"/>
      <c r="F6" s="49"/>
      <c r="G6" s="3"/>
      <c r="H6" s="49"/>
      <c r="I6" s="50"/>
      <c r="J6" s="3"/>
      <c r="Q6" s="52"/>
      <c r="R6" s="52"/>
      <c r="S6" s="52"/>
      <c r="T6" s="52"/>
      <c r="U6" s="52"/>
    </row>
    <row r="7" spans="1:21" ht="12.75">
      <c r="A7" s="3"/>
      <c r="B7" s="29"/>
      <c r="C7" s="52"/>
      <c r="D7" s="3"/>
      <c r="E7" s="49"/>
      <c r="F7" s="49"/>
      <c r="G7" s="3"/>
      <c r="H7" s="49"/>
      <c r="I7" s="50"/>
      <c r="J7" s="3"/>
      <c r="Q7" s="52"/>
      <c r="R7" s="52"/>
      <c r="S7" s="52"/>
      <c r="T7" s="52"/>
      <c r="U7" s="52"/>
    </row>
    <row r="8" spans="1:21" ht="12.75">
      <c r="A8" s="3"/>
      <c r="B8" s="57" t="s">
        <v>146</v>
      </c>
      <c r="C8" s="58"/>
      <c r="D8" s="59"/>
      <c r="E8" s="60"/>
      <c r="F8" s="60"/>
      <c r="G8" s="59"/>
      <c r="H8" s="60"/>
      <c r="I8" s="61"/>
      <c r="J8" s="3"/>
      <c r="Q8" s="52"/>
      <c r="R8" s="52"/>
      <c r="S8" s="52"/>
      <c r="T8" s="52"/>
      <c r="U8" s="52"/>
    </row>
    <row r="9" spans="1:21" ht="12.75" customHeight="1">
      <c r="A9" s="3"/>
      <c r="B9" s="29"/>
      <c r="C9" s="52"/>
      <c r="D9" s="3"/>
      <c r="E9" s="245" t="s">
        <v>148</v>
      </c>
      <c r="F9" s="245"/>
      <c r="G9" s="3"/>
      <c r="H9" s="245" t="s">
        <v>149</v>
      </c>
      <c r="I9" s="262"/>
      <c r="J9" s="3"/>
    </row>
    <row r="10" spans="1:21" s="204" customFormat="1" ht="12.75">
      <c r="A10" s="3"/>
      <c r="B10" s="208"/>
      <c r="C10" s="209"/>
      <c r="D10" s="3"/>
      <c r="E10" s="247"/>
      <c r="F10" s="247"/>
      <c r="G10" s="3"/>
      <c r="H10" s="257"/>
      <c r="I10" s="263"/>
      <c r="J10" s="3"/>
    </row>
    <row r="11" spans="1:21" ht="12.75" customHeight="1">
      <c r="A11" s="3"/>
      <c r="B11" s="208" t="s">
        <v>147</v>
      </c>
      <c r="C11" s="204"/>
      <c r="D11" s="3"/>
      <c r="E11" s="247"/>
      <c r="F11" s="247"/>
      <c r="G11" s="3"/>
      <c r="H11" s="257"/>
      <c r="I11" s="263"/>
      <c r="J11" s="3"/>
    </row>
    <row r="12" spans="1:21" ht="12.75">
      <c r="A12" s="3"/>
      <c r="B12" s="29"/>
      <c r="C12" s="54">
        <f>'11. Project 3-Assumption'!C23</f>
        <v>40</v>
      </c>
      <c r="D12" s="3"/>
      <c r="E12" s="49"/>
      <c r="F12" s="156">
        <f>'11. Project 3-Assumption'!C16</f>
        <v>1</v>
      </c>
      <c r="G12" s="3"/>
      <c r="H12" s="49"/>
      <c r="I12" s="56">
        <f>'11. Project 3-Assumption'!M4</f>
        <v>3.6036000000000001</v>
      </c>
      <c r="J12" s="3"/>
    </row>
    <row r="13" spans="1:21" ht="12.75">
      <c r="A13" s="3"/>
      <c r="B13" s="29"/>
      <c r="C13" s="52"/>
      <c r="D13" s="3"/>
      <c r="E13" s="49"/>
      <c r="F13" s="49"/>
      <c r="G13" s="3"/>
      <c r="H13" s="49"/>
      <c r="I13" s="50"/>
      <c r="J13" s="3"/>
    </row>
    <row r="14" spans="1:21" ht="12.75">
      <c r="A14" s="3"/>
      <c r="B14" s="29"/>
      <c r="C14" s="52"/>
      <c r="D14" s="3"/>
      <c r="E14" s="49"/>
      <c r="F14" s="49"/>
      <c r="G14" s="3"/>
      <c r="H14" s="49"/>
      <c r="I14" s="50"/>
      <c r="J14" s="3"/>
    </row>
    <row r="15" spans="1:21" ht="12.75">
      <c r="A15" s="3"/>
      <c r="B15" s="29"/>
      <c r="C15" s="52"/>
      <c r="D15" s="3"/>
      <c r="E15" s="49"/>
      <c r="F15" s="49"/>
      <c r="G15" s="3"/>
      <c r="H15" s="49"/>
      <c r="I15" s="50"/>
      <c r="J15" s="3"/>
    </row>
    <row r="16" spans="1:21" ht="12.75">
      <c r="A16" s="3"/>
      <c r="B16" s="51"/>
      <c r="C16" s="64"/>
      <c r="D16" s="110"/>
      <c r="E16" s="245" t="s">
        <v>150</v>
      </c>
      <c r="F16" s="245"/>
      <c r="G16" s="110"/>
      <c r="H16" s="157"/>
      <c r="I16" s="158"/>
      <c r="J16" s="3"/>
      <c r="Q16" s="2"/>
    </row>
    <row r="17" spans="1:21" ht="27.75" customHeight="1">
      <c r="A17" s="3"/>
      <c r="B17" s="260" t="s">
        <v>147</v>
      </c>
      <c r="C17" s="261"/>
      <c r="D17" s="3"/>
      <c r="E17" s="257"/>
      <c r="F17" s="257"/>
      <c r="G17" s="3"/>
      <c r="H17" s="233" t="s">
        <v>151</v>
      </c>
      <c r="I17" s="239"/>
      <c r="J17" s="3"/>
      <c r="Q17" s="264"/>
      <c r="R17" s="217"/>
      <c r="S17" s="217"/>
      <c r="T17" s="217"/>
      <c r="U17" s="217"/>
    </row>
    <row r="18" spans="1:21" ht="12.75">
      <c r="A18" s="3"/>
      <c r="B18" s="65"/>
      <c r="C18" s="54">
        <f>'11. Project 3-Assumption'!C23</f>
        <v>40</v>
      </c>
      <c r="D18" s="3"/>
      <c r="E18" s="3"/>
      <c r="F18" s="55">
        <f>'11. Project 3-Assumption'!C37</f>
        <v>863441.86046511633</v>
      </c>
      <c r="G18" s="3"/>
      <c r="H18" s="3"/>
      <c r="I18" s="56">
        <f>'11. Project 3-Assumption'!C38</f>
        <v>523.4793284651164</v>
      </c>
      <c r="J18" s="3"/>
      <c r="Q18" s="217"/>
      <c r="R18" s="217"/>
      <c r="S18" s="217"/>
      <c r="T18" s="217"/>
      <c r="U18" s="217"/>
    </row>
    <row r="19" spans="1:21" ht="12.75">
      <c r="A19" s="3"/>
      <c r="B19" s="65"/>
      <c r="C19" s="3"/>
      <c r="D19" s="3"/>
      <c r="E19" s="3"/>
      <c r="F19" s="3"/>
      <c r="G19" s="3"/>
      <c r="H19" s="3"/>
      <c r="I19" s="53"/>
      <c r="J19" s="3"/>
      <c r="Q19" s="217"/>
      <c r="R19" s="217"/>
      <c r="S19" s="217"/>
      <c r="T19" s="217"/>
      <c r="U19" s="217"/>
    </row>
    <row r="20" spans="1:21" ht="12.75">
      <c r="A20" s="3"/>
      <c r="B20" s="65"/>
      <c r="C20" s="3"/>
      <c r="D20" s="3"/>
      <c r="E20" s="3"/>
      <c r="F20" s="3"/>
      <c r="G20" s="3"/>
      <c r="H20" s="3"/>
      <c r="I20" s="53"/>
      <c r="J20" s="3"/>
      <c r="Q20" s="217"/>
      <c r="R20" s="217"/>
      <c r="S20" s="217"/>
      <c r="T20" s="217"/>
      <c r="U20" s="217"/>
    </row>
    <row r="21" spans="1:21" ht="12.75">
      <c r="A21" s="3"/>
      <c r="B21" s="65"/>
      <c r="C21" s="3"/>
      <c r="D21" s="3"/>
      <c r="E21" s="3"/>
      <c r="F21" s="3"/>
      <c r="G21" s="3"/>
      <c r="H21" s="3"/>
      <c r="I21" s="53"/>
      <c r="J21" s="3"/>
      <c r="Q21" s="217"/>
      <c r="R21" s="217"/>
      <c r="S21" s="217"/>
      <c r="T21" s="217"/>
      <c r="U21" s="217"/>
    </row>
    <row r="22" spans="1:21" ht="12.75">
      <c r="A22" s="3"/>
      <c r="B22" s="57" t="s">
        <v>152</v>
      </c>
      <c r="C22" s="59"/>
      <c r="D22" s="59"/>
      <c r="E22" s="110"/>
      <c r="F22" s="110"/>
      <c r="G22" s="59"/>
      <c r="H22" s="110"/>
      <c r="I22" s="159"/>
      <c r="J22" s="3"/>
      <c r="Q22" s="217"/>
      <c r="R22" s="217"/>
      <c r="S22" s="217"/>
      <c r="T22" s="217"/>
      <c r="U22" s="217"/>
    </row>
    <row r="23" spans="1:21" s="204" customFormat="1" ht="12.75">
      <c r="A23" s="3"/>
      <c r="B23" s="208"/>
      <c r="C23" s="203"/>
      <c r="D23" s="203"/>
      <c r="E23" s="245" t="s">
        <v>153</v>
      </c>
      <c r="F23" s="245"/>
      <c r="G23" s="203"/>
      <c r="H23" s="245" t="s">
        <v>154</v>
      </c>
      <c r="I23" s="262"/>
      <c r="J23" s="3"/>
      <c r="Q23" s="217"/>
      <c r="R23" s="217"/>
      <c r="S23" s="217"/>
      <c r="T23" s="217"/>
      <c r="U23" s="217"/>
    </row>
    <row r="24" spans="1:21" s="204" customFormat="1" ht="12.75">
      <c r="A24" s="3"/>
      <c r="B24" s="208"/>
      <c r="C24" s="203"/>
      <c r="D24" s="203"/>
      <c r="E24" s="247"/>
      <c r="F24" s="247"/>
      <c r="G24" s="203"/>
      <c r="H24" s="247"/>
      <c r="I24" s="263"/>
      <c r="J24" s="3"/>
      <c r="Q24" s="217"/>
      <c r="R24" s="217"/>
      <c r="S24" s="217"/>
      <c r="T24" s="217"/>
      <c r="U24" s="217"/>
    </row>
    <row r="25" spans="1:21" ht="12.75" customHeight="1">
      <c r="A25" s="3"/>
      <c r="B25" s="208" t="s">
        <v>147</v>
      </c>
      <c r="C25" s="204"/>
      <c r="D25" s="3"/>
      <c r="E25" s="247"/>
      <c r="F25" s="247"/>
      <c r="G25" s="3"/>
      <c r="H25" s="247"/>
      <c r="I25" s="263"/>
      <c r="J25" s="3"/>
      <c r="Q25" s="217"/>
      <c r="R25" s="217"/>
      <c r="S25" s="217"/>
      <c r="T25" s="217"/>
      <c r="U25" s="217"/>
    </row>
    <row r="26" spans="1:21" ht="12.75">
      <c r="A26" s="3"/>
      <c r="B26" s="65"/>
      <c r="C26" s="54">
        <f>'11. Project 3-Assumption'!C23</f>
        <v>40</v>
      </c>
      <c r="D26" s="3"/>
      <c r="E26" s="3"/>
      <c r="F26" s="156">
        <f>'11. Project 3-Assumption'!C35</f>
        <v>1</v>
      </c>
      <c r="G26" s="3"/>
      <c r="H26" s="3"/>
      <c r="I26" s="56">
        <f>'11. Project 3-Assumption'!M24</f>
        <v>523.4793284651164</v>
      </c>
      <c r="J26" s="3"/>
      <c r="Q26" s="217"/>
      <c r="R26" s="217"/>
      <c r="S26" s="217"/>
      <c r="T26" s="217"/>
      <c r="U26" s="217"/>
    </row>
    <row r="27" spans="1:21" ht="12.75">
      <c r="A27" s="3"/>
      <c r="B27" s="65"/>
      <c r="C27" s="3"/>
      <c r="D27" s="3"/>
      <c r="E27" s="3"/>
      <c r="F27" s="3"/>
      <c r="G27" s="3"/>
      <c r="H27" s="3"/>
      <c r="I27" s="53"/>
      <c r="J27" s="3"/>
    </row>
    <row r="28" spans="1:21" ht="12.75">
      <c r="A28" s="3"/>
      <c r="B28" s="65"/>
      <c r="C28" s="3"/>
      <c r="D28" s="3"/>
      <c r="E28" s="3"/>
      <c r="F28" s="3"/>
      <c r="G28" s="3"/>
      <c r="H28" s="3"/>
      <c r="I28" s="53"/>
      <c r="J28" s="3"/>
    </row>
    <row r="29" spans="1:21" ht="12.75">
      <c r="A29" s="3"/>
      <c r="B29" s="66"/>
      <c r="C29" s="67"/>
      <c r="D29" s="67"/>
      <c r="E29" s="67"/>
      <c r="F29" s="67"/>
      <c r="G29" s="67"/>
      <c r="H29" s="67"/>
      <c r="I29" s="63"/>
      <c r="J29" s="3"/>
    </row>
    <row r="30" spans="1:21" ht="12.7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21" ht="12.75">
      <c r="A31" s="3"/>
      <c r="B31" s="46" t="s">
        <v>155</v>
      </c>
      <c r="C31" s="47"/>
      <c r="D31" s="47"/>
      <c r="E31" s="47"/>
      <c r="F31" s="47"/>
      <c r="G31" s="47"/>
      <c r="H31" s="160"/>
      <c r="I31" s="161"/>
      <c r="J31" s="3"/>
      <c r="Q31" s="2"/>
    </row>
    <row r="32" spans="1:21" ht="12.75" customHeight="1">
      <c r="A32" s="3"/>
      <c r="B32" s="260" t="s">
        <v>156</v>
      </c>
      <c r="C32" s="217"/>
      <c r="D32" s="3"/>
      <c r="E32" s="52" t="s">
        <v>157</v>
      </c>
      <c r="F32" s="3"/>
      <c r="G32" s="3"/>
      <c r="H32" s="257" t="s">
        <v>158</v>
      </c>
      <c r="I32" s="263"/>
      <c r="J32" s="3"/>
      <c r="Q32" s="264"/>
      <c r="R32" s="217"/>
      <c r="S32" s="217"/>
      <c r="T32" s="217"/>
      <c r="U32" s="217"/>
    </row>
    <row r="33" spans="1:21" s="204" customFormat="1" ht="12.75">
      <c r="A33" s="3"/>
      <c r="B33" s="207"/>
      <c r="D33" s="3"/>
      <c r="E33" s="209"/>
      <c r="F33" s="3"/>
      <c r="G33" s="3"/>
      <c r="H33" s="257"/>
      <c r="I33" s="263"/>
      <c r="J33" s="3"/>
      <c r="Q33" s="264"/>
      <c r="R33" s="217"/>
      <c r="S33" s="217"/>
      <c r="T33" s="217"/>
      <c r="U33" s="217"/>
    </row>
    <row r="34" spans="1:21" s="204" customFormat="1" ht="12.75">
      <c r="A34" s="3"/>
      <c r="B34" s="207"/>
      <c r="D34" s="3"/>
      <c r="E34" s="209"/>
      <c r="F34" s="3"/>
      <c r="G34" s="3"/>
      <c r="H34" s="257"/>
      <c r="I34" s="263"/>
      <c r="J34" s="3"/>
      <c r="Q34" s="264"/>
      <c r="R34" s="217"/>
      <c r="S34" s="217"/>
      <c r="T34" s="217"/>
      <c r="U34" s="217"/>
    </row>
    <row r="35" spans="1:21" ht="12.75">
      <c r="A35" s="3"/>
      <c r="B35" s="65"/>
      <c r="C35" s="54">
        <f>'11. Project 3-Assumption'!C46</f>
        <v>200</v>
      </c>
      <c r="D35" s="3"/>
      <c r="E35" s="3"/>
      <c r="F35" s="156">
        <f>'11. Project 3-Assumption'!C47</f>
        <v>0.5</v>
      </c>
      <c r="G35" s="3"/>
      <c r="H35" s="3"/>
      <c r="I35" s="162">
        <f>'11. Project 3-Assumption'!C55</f>
        <v>473.99329999999998</v>
      </c>
      <c r="J35" s="3"/>
      <c r="Q35" s="217"/>
      <c r="R35" s="217"/>
      <c r="S35" s="217"/>
      <c r="T35" s="217"/>
      <c r="U35" s="217"/>
    </row>
    <row r="36" spans="1:21" ht="12.75">
      <c r="A36" s="3"/>
      <c r="B36" s="65"/>
      <c r="C36" s="3"/>
      <c r="D36" s="3"/>
      <c r="E36" s="3"/>
      <c r="F36" s="3"/>
      <c r="G36" s="3"/>
      <c r="H36" s="3"/>
      <c r="I36" s="53"/>
      <c r="J36" s="3"/>
      <c r="Q36" s="217"/>
      <c r="R36" s="217"/>
      <c r="S36" s="217"/>
      <c r="T36" s="217"/>
      <c r="U36" s="217"/>
    </row>
    <row r="37" spans="1:21" ht="12.75">
      <c r="A37" s="3"/>
      <c r="B37" s="65"/>
      <c r="C37" s="3"/>
      <c r="D37" s="3"/>
      <c r="E37" s="3"/>
      <c r="F37" s="3"/>
      <c r="G37" s="3"/>
      <c r="H37" s="3"/>
      <c r="I37" s="53"/>
      <c r="J37" s="3"/>
      <c r="Q37" s="217"/>
      <c r="R37" s="217"/>
      <c r="S37" s="217"/>
      <c r="T37" s="217"/>
      <c r="U37" s="217"/>
    </row>
    <row r="38" spans="1:21" ht="12.75">
      <c r="A38" s="3"/>
      <c r="B38" s="65"/>
      <c r="C38" s="3"/>
      <c r="D38" s="3"/>
      <c r="E38" s="3"/>
      <c r="F38" s="3"/>
      <c r="G38" s="3"/>
      <c r="H38" s="3"/>
      <c r="I38" s="53"/>
      <c r="J38" s="3"/>
      <c r="Q38" s="217"/>
      <c r="R38" s="217"/>
      <c r="S38" s="217"/>
      <c r="T38" s="217"/>
      <c r="U38" s="217"/>
    </row>
    <row r="39" spans="1:21" ht="12.75">
      <c r="A39" s="3"/>
      <c r="B39" s="57" t="s">
        <v>146</v>
      </c>
      <c r="C39" s="59"/>
      <c r="D39" s="59"/>
      <c r="E39" s="59"/>
      <c r="F39" s="59"/>
      <c r="G39" s="59"/>
      <c r="H39" s="59"/>
      <c r="I39" s="163"/>
      <c r="J39" s="3"/>
      <c r="Q39" s="217"/>
      <c r="R39" s="217"/>
      <c r="S39" s="217"/>
      <c r="T39" s="217"/>
      <c r="U39" s="217"/>
    </row>
    <row r="40" spans="1:21" ht="12.75" customHeight="1">
      <c r="A40" s="3"/>
      <c r="B40" s="65"/>
      <c r="C40" s="3"/>
      <c r="D40" s="3"/>
      <c r="E40" s="245" t="s">
        <v>160</v>
      </c>
      <c r="F40" s="245"/>
      <c r="G40" s="3"/>
      <c r="H40" s="245" t="s">
        <v>161</v>
      </c>
      <c r="I40" s="262"/>
      <c r="J40" s="3"/>
      <c r="Q40" s="217"/>
      <c r="R40" s="217"/>
      <c r="S40" s="217"/>
      <c r="T40" s="217"/>
      <c r="U40" s="217"/>
    </row>
    <row r="41" spans="1:21" ht="12.75" customHeight="1">
      <c r="A41" s="3"/>
      <c r="B41" s="260" t="s">
        <v>159</v>
      </c>
      <c r="C41" s="217"/>
      <c r="D41" s="3"/>
      <c r="E41" s="247"/>
      <c r="F41" s="247"/>
      <c r="G41" s="3"/>
      <c r="H41" s="257"/>
      <c r="I41" s="263"/>
      <c r="J41" s="3"/>
      <c r="Q41" s="217"/>
      <c r="R41" s="217"/>
      <c r="S41" s="217"/>
      <c r="T41" s="217"/>
      <c r="U41" s="217"/>
    </row>
    <row r="42" spans="1:21" s="204" customFormat="1" ht="12.75" customHeight="1">
      <c r="A42" s="3"/>
      <c r="B42" s="207"/>
      <c r="D42" s="3"/>
      <c r="E42" s="247"/>
      <c r="F42" s="247"/>
      <c r="G42" s="3"/>
      <c r="H42" s="257"/>
      <c r="I42" s="263"/>
      <c r="J42" s="3"/>
    </row>
    <row r="43" spans="1:21" ht="12.75">
      <c r="A43" s="3"/>
      <c r="B43" s="65"/>
      <c r="C43" s="164">
        <f>'11. Project 3-Assumption'!C46</f>
        <v>200</v>
      </c>
      <c r="D43" s="3"/>
      <c r="E43" s="3"/>
      <c r="F43" s="156">
        <f>'11. Project 3-Assumption'!C48</f>
        <v>0.35</v>
      </c>
      <c r="G43" s="3"/>
      <c r="H43" s="3"/>
      <c r="I43" s="162">
        <f>'11. Project 3-Assumption'!M45</f>
        <v>331.79530999999997</v>
      </c>
      <c r="J43" s="3"/>
    </row>
    <row r="44" spans="1:21" ht="12.75">
      <c r="A44" s="3"/>
      <c r="B44" s="65"/>
      <c r="C44" s="3"/>
      <c r="D44" s="3"/>
      <c r="E44" s="3"/>
      <c r="F44" s="3"/>
      <c r="G44" s="3"/>
      <c r="H44" s="3"/>
      <c r="I44" s="53"/>
      <c r="J44" s="3"/>
    </row>
    <row r="45" spans="1:21" ht="12.75">
      <c r="A45" s="3"/>
      <c r="B45" s="65"/>
      <c r="C45" s="3"/>
      <c r="D45" s="3"/>
      <c r="E45" s="3"/>
      <c r="F45" s="3"/>
      <c r="G45" s="3"/>
      <c r="H45" s="3"/>
      <c r="I45" s="53"/>
      <c r="J45" s="3"/>
    </row>
    <row r="46" spans="1:21" ht="12.75">
      <c r="A46" s="3"/>
      <c r="B46" s="66"/>
      <c r="C46" s="67"/>
      <c r="D46" s="67"/>
      <c r="E46" s="67"/>
      <c r="F46" s="67"/>
      <c r="G46" s="67"/>
      <c r="H46" s="67"/>
      <c r="I46" s="63"/>
      <c r="J46" s="3"/>
    </row>
    <row r="47" spans="1:21" ht="12.7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21" ht="12.7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2:9" ht="12.75">
      <c r="B49" s="68"/>
      <c r="C49" s="69"/>
      <c r="D49" s="69"/>
      <c r="E49" s="69"/>
      <c r="F49" s="69"/>
      <c r="G49" s="69"/>
      <c r="H49" s="69"/>
      <c r="I49" s="69"/>
    </row>
  </sheetData>
  <mergeCells count="17">
    <mergeCell ref="B3:C3"/>
    <mergeCell ref="E2:F3"/>
    <mergeCell ref="H2:I3"/>
    <mergeCell ref="E9:F11"/>
    <mergeCell ref="H9:I11"/>
    <mergeCell ref="B32:C32"/>
    <mergeCell ref="Q32:U41"/>
    <mergeCell ref="B41:C41"/>
    <mergeCell ref="H32:I34"/>
    <mergeCell ref="H40:I42"/>
    <mergeCell ref="E40:F42"/>
    <mergeCell ref="H17:I17"/>
    <mergeCell ref="Q17:U26"/>
    <mergeCell ref="B17:C17"/>
    <mergeCell ref="E16:F17"/>
    <mergeCell ref="E23:F25"/>
    <mergeCell ref="H23:I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62"/>
  <sheetViews>
    <sheetView showGridLines="0" topLeftCell="E8" workbookViewId="0">
      <selection activeCell="H44" sqref="H44"/>
    </sheetView>
  </sheetViews>
  <sheetFormatPr defaultColWidth="12.5703125" defaultRowHeight="15.75" customHeight="1"/>
  <cols>
    <col min="1" max="1" width="4.85546875" customWidth="1"/>
    <col min="2" max="2" width="51.140625" customWidth="1"/>
    <col min="4" max="4" width="15.42578125" customWidth="1"/>
    <col min="5" max="5" width="25.5703125" customWidth="1"/>
    <col min="6" max="6" width="7.42578125" customWidth="1"/>
    <col min="7" max="7" width="16" customWidth="1"/>
  </cols>
  <sheetData>
    <row r="1" spans="1:14" ht="12.75">
      <c r="A1" s="3"/>
      <c r="B1" s="265" t="s">
        <v>163</v>
      </c>
      <c r="C1" s="224"/>
      <c r="D1" s="224"/>
      <c r="E1" s="225"/>
      <c r="F1" s="3"/>
      <c r="G1" s="248" t="s">
        <v>154</v>
      </c>
      <c r="H1" s="224"/>
      <c r="I1" s="224"/>
      <c r="J1" s="224"/>
      <c r="K1" s="224"/>
      <c r="L1" s="224"/>
      <c r="M1" s="225"/>
      <c r="N1" s="3"/>
    </row>
    <row r="2" spans="1:14" ht="12.75">
      <c r="A2" s="3"/>
      <c r="B2" s="165" t="s">
        <v>164</v>
      </c>
      <c r="C2" s="165" t="s">
        <v>165</v>
      </c>
      <c r="D2" s="166" t="s">
        <v>10</v>
      </c>
      <c r="E2" s="165" t="s">
        <v>166</v>
      </c>
      <c r="F2" s="3"/>
      <c r="G2" s="65"/>
      <c r="H2" s="3"/>
      <c r="I2" s="3"/>
      <c r="J2" s="3"/>
      <c r="K2" s="3"/>
      <c r="L2" s="3"/>
      <c r="M2" s="53"/>
      <c r="N2" s="3"/>
    </row>
    <row r="3" spans="1:14" ht="12.75">
      <c r="A3" s="3"/>
      <c r="B3" s="149" t="s">
        <v>167</v>
      </c>
      <c r="C3" s="97">
        <v>120</v>
      </c>
      <c r="D3" s="97" t="s">
        <v>168</v>
      </c>
      <c r="E3" s="142"/>
      <c r="F3" s="3"/>
      <c r="G3" s="167"/>
      <c r="H3" s="168" t="s">
        <v>68</v>
      </c>
      <c r="I3" s="168" t="s">
        <v>69</v>
      </c>
      <c r="J3" s="168" t="s">
        <v>70</v>
      </c>
      <c r="K3" s="168" t="s">
        <v>71</v>
      </c>
      <c r="L3" s="168" t="s">
        <v>72</v>
      </c>
      <c r="M3" s="22" t="s">
        <v>37</v>
      </c>
      <c r="N3" s="3"/>
    </row>
    <row r="4" spans="1:14" ht="25.5">
      <c r="A4" s="3"/>
      <c r="B4" s="82" t="s">
        <v>169</v>
      </c>
      <c r="C4" s="169" t="s">
        <v>170</v>
      </c>
      <c r="D4" s="170" t="s">
        <v>171</v>
      </c>
      <c r="E4" s="142" t="s">
        <v>172</v>
      </c>
      <c r="F4" s="3"/>
      <c r="G4" s="190" t="s">
        <v>255</v>
      </c>
      <c r="H4" s="26">
        <f>C14</f>
        <v>275.41171257600001</v>
      </c>
      <c r="I4" s="26">
        <f>C14</f>
        <v>275.41171257600001</v>
      </c>
      <c r="J4" s="26">
        <f>C14</f>
        <v>275.41171257600001</v>
      </c>
      <c r="K4" s="26">
        <f>C14</f>
        <v>275.41171257600001</v>
      </c>
      <c r="L4" s="26">
        <f>C14</f>
        <v>275.41171257600001</v>
      </c>
      <c r="M4" s="171">
        <f>SUM(H4:L4)</f>
        <v>1377.05856288</v>
      </c>
      <c r="N4" s="3"/>
    </row>
    <row r="5" spans="1:14" ht="12.75">
      <c r="A5" s="3"/>
      <c r="B5" s="82" t="s">
        <v>173</v>
      </c>
      <c r="C5" s="97">
        <v>52</v>
      </c>
      <c r="D5" s="97" t="s">
        <v>174</v>
      </c>
      <c r="E5" s="142" t="s">
        <v>172</v>
      </c>
      <c r="F5" s="3"/>
      <c r="G5" s="3"/>
      <c r="H5" s="3"/>
      <c r="I5" s="3"/>
      <c r="J5" s="3"/>
      <c r="K5" s="3"/>
      <c r="L5" s="3"/>
      <c r="M5" s="3"/>
      <c r="N5" s="3"/>
    </row>
    <row r="6" spans="1:14" ht="12.75">
      <c r="A6" s="3"/>
      <c r="B6" s="82" t="s">
        <v>175</v>
      </c>
      <c r="C6" s="169">
        <v>24</v>
      </c>
      <c r="D6" s="97" t="s">
        <v>67</v>
      </c>
      <c r="E6" s="172"/>
      <c r="F6" s="3"/>
      <c r="G6" s="3"/>
      <c r="H6" s="3"/>
      <c r="I6" s="3"/>
      <c r="J6" s="3"/>
      <c r="K6" s="3"/>
      <c r="L6" s="3"/>
      <c r="M6" s="3"/>
      <c r="N6" s="3"/>
    </row>
    <row r="7" spans="1:14" ht="12.75">
      <c r="A7" s="3"/>
      <c r="B7" s="82" t="s">
        <v>176</v>
      </c>
      <c r="C7" s="173">
        <v>7</v>
      </c>
      <c r="D7" s="97" t="s">
        <v>74</v>
      </c>
      <c r="E7" s="172"/>
      <c r="F7" s="3"/>
      <c r="G7" s="3"/>
      <c r="H7" s="3"/>
      <c r="I7" s="3"/>
      <c r="J7" s="3"/>
      <c r="K7" s="3"/>
      <c r="L7" s="3"/>
      <c r="M7" s="3"/>
      <c r="N7" s="3"/>
    </row>
    <row r="8" spans="1:14" ht="12.75">
      <c r="A8" s="3"/>
      <c r="B8" s="149" t="s">
        <v>177</v>
      </c>
      <c r="C8" s="148">
        <f>C5*C6</f>
        <v>1248</v>
      </c>
      <c r="D8" s="97" t="s">
        <v>178</v>
      </c>
      <c r="E8" s="172"/>
      <c r="F8" s="3"/>
      <c r="G8" s="3"/>
      <c r="H8" s="3"/>
      <c r="I8" s="3"/>
      <c r="J8" s="174" t="s">
        <v>20</v>
      </c>
      <c r="K8" s="88">
        <f>C51</f>
        <v>1421.9799</v>
      </c>
      <c r="L8" s="3"/>
      <c r="M8" s="3"/>
      <c r="N8" s="3"/>
    </row>
    <row r="9" spans="1:14" ht="12.75">
      <c r="A9" s="3"/>
      <c r="B9" s="149" t="s">
        <v>179</v>
      </c>
      <c r="C9" s="26">
        <f>C8*C7*52</f>
        <v>454272</v>
      </c>
      <c r="D9" s="97" t="s">
        <v>180</v>
      </c>
      <c r="E9" s="172"/>
      <c r="F9" s="3"/>
      <c r="G9" s="3"/>
      <c r="H9" s="3"/>
      <c r="I9" s="3"/>
      <c r="J9" s="174" t="s">
        <v>181</v>
      </c>
      <c r="K9" s="88">
        <f>C16</f>
        <v>1377.05856288</v>
      </c>
      <c r="L9" s="3"/>
      <c r="M9" s="3"/>
      <c r="N9" s="3"/>
    </row>
    <row r="10" spans="1:14" ht="12.75">
      <c r="A10" s="3"/>
      <c r="B10" s="82" t="s">
        <v>132</v>
      </c>
      <c r="C10" s="169">
        <v>0.55000000000000004</v>
      </c>
      <c r="D10" s="97" t="s">
        <v>133</v>
      </c>
      <c r="E10" s="142" t="s">
        <v>134</v>
      </c>
      <c r="F10" s="3"/>
      <c r="G10" s="3"/>
      <c r="H10" s="3"/>
      <c r="I10" s="3"/>
      <c r="J10" s="175" t="s">
        <v>182</v>
      </c>
      <c r="K10" s="176">
        <f>C33</f>
        <v>16.216200000000001</v>
      </c>
      <c r="L10" s="3"/>
      <c r="M10" s="3"/>
      <c r="N10" s="3"/>
    </row>
    <row r="11" spans="1:14" ht="12.75">
      <c r="A11" s="3"/>
      <c r="B11" s="99" t="s">
        <v>92</v>
      </c>
      <c r="C11" s="100">
        <v>1.10231E-3</v>
      </c>
      <c r="D11" s="101" t="s">
        <v>135</v>
      </c>
      <c r="E11" s="35"/>
      <c r="F11" s="3"/>
      <c r="G11" s="3"/>
      <c r="H11" s="3"/>
      <c r="I11" s="3"/>
      <c r="J11" s="177" t="s">
        <v>183</v>
      </c>
      <c r="K11" s="94">
        <f>C51-M41</f>
        <v>426.59397000000013</v>
      </c>
      <c r="L11" s="3"/>
      <c r="M11" s="3"/>
      <c r="N11" s="3"/>
    </row>
    <row r="12" spans="1:14" ht="12.75">
      <c r="A12" s="3"/>
      <c r="B12" s="99" t="s">
        <v>184</v>
      </c>
      <c r="C12" s="26">
        <f>(C9*C10)*C11</f>
        <v>275.41171257600001</v>
      </c>
      <c r="D12" s="101" t="s">
        <v>185</v>
      </c>
      <c r="E12" s="35"/>
      <c r="F12" s="3"/>
      <c r="G12" s="3"/>
      <c r="H12" s="3"/>
      <c r="I12" s="3"/>
      <c r="J12" s="177" t="s">
        <v>186</v>
      </c>
      <c r="K12" s="178">
        <f>C33-M22</f>
        <v>0</v>
      </c>
      <c r="L12" s="3"/>
      <c r="M12" s="3"/>
      <c r="N12" s="3"/>
    </row>
    <row r="13" spans="1:14" ht="27.75" customHeight="1">
      <c r="A13" s="3"/>
      <c r="B13" s="99" t="s">
        <v>187</v>
      </c>
      <c r="C13" s="152">
        <v>1</v>
      </c>
      <c r="D13" s="152"/>
      <c r="E13" s="35"/>
      <c r="F13" s="3"/>
      <c r="G13" s="3"/>
      <c r="H13" s="3"/>
      <c r="I13" s="3"/>
      <c r="J13" s="179" t="s">
        <v>188</v>
      </c>
      <c r="K13" s="94">
        <f>C16-M4</f>
        <v>0</v>
      </c>
      <c r="L13" s="3"/>
      <c r="M13" s="3"/>
      <c r="N13" s="3"/>
    </row>
    <row r="14" spans="1:14" ht="24.75" customHeight="1">
      <c r="A14" s="3"/>
      <c r="B14" s="99" t="s">
        <v>189</v>
      </c>
      <c r="C14" s="26">
        <f>C13*C12</f>
        <v>275.41171257600001</v>
      </c>
      <c r="D14" s="180" t="s">
        <v>137</v>
      </c>
      <c r="E14" s="35"/>
      <c r="F14" s="3"/>
      <c r="G14" s="3"/>
      <c r="H14" s="3"/>
      <c r="I14" s="3"/>
      <c r="J14" s="3"/>
      <c r="K14" s="3"/>
      <c r="L14" s="3"/>
      <c r="M14" s="3"/>
      <c r="N14" s="3"/>
    </row>
    <row r="15" spans="1:14" ht="25.5">
      <c r="A15" s="3"/>
      <c r="B15" s="149" t="s">
        <v>190</v>
      </c>
      <c r="C15" s="26">
        <f>C9*5</f>
        <v>2271360</v>
      </c>
      <c r="D15" s="97" t="s">
        <v>191</v>
      </c>
      <c r="E15" s="35"/>
      <c r="F15" s="3"/>
      <c r="G15" s="3"/>
      <c r="L15" s="3"/>
      <c r="M15" s="3"/>
      <c r="N15" s="3"/>
    </row>
    <row r="16" spans="1:14" ht="27.75" customHeight="1">
      <c r="A16" s="3"/>
      <c r="B16" s="99" t="s">
        <v>192</v>
      </c>
      <c r="C16" s="26">
        <f>C12*5</f>
        <v>1377.05856288</v>
      </c>
      <c r="D16" s="73" t="s">
        <v>193</v>
      </c>
      <c r="E16" s="35"/>
      <c r="F16" s="3"/>
      <c r="G16" s="3"/>
      <c r="L16" s="3"/>
      <c r="M16" s="3"/>
      <c r="N16" s="3"/>
    </row>
    <row r="17" spans="1:14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2.75">
      <c r="A19" s="3"/>
      <c r="B19" s="265" t="s">
        <v>194</v>
      </c>
      <c r="C19" s="224"/>
      <c r="D19" s="224"/>
      <c r="E19" s="225"/>
      <c r="F19" s="3"/>
      <c r="G19" s="248" t="s">
        <v>195</v>
      </c>
      <c r="H19" s="224"/>
      <c r="I19" s="224"/>
      <c r="J19" s="224"/>
      <c r="K19" s="224"/>
      <c r="L19" s="224"/>
      <c r="M19" s="225"/>
      <c r="N19" s="3"/>
    </row>
    <row r="20" spans="1:14" ht="12.75">
      <c r="A20" s="3"/>
      <c r="B20" s="165" t="s">
        <v>164</v>
      </c>
      <c r="C20" s="165" t="s">
        <v>165</v>
      </c>
      <c r="D20" s="166" t="s">
        <v>10</v>
      </c>
      <c r="E20" s="165" t="s">
        <v>166</v>
      </c>
      <c r="F20" s="3"/>
      <c r="G20" s="65"/>
      <c r="H20" s="3"/>
      <c r="I20" s="3"/>
      <c r="J20" s="3"/>
      <c r="K20" s="3"/>
      <c r="L20" s="3"/>
      <c r="M20" s="53"/>
      <c r="N20" s="3"/>
    </row>
    <row r="21" spans="1:14" ht="12.75">
      <c r="A21" s="3"/>
      <c r="B21" s="10" t="s">
        <v>196</v>
      </c>
      <c r="C21" s="10">
        <v>4.5</v>
      </c>
      <c r="D21" s="73"/>
      <c r="E21" s="35"/>
      <c r="F21" s="3"/>
      <c r="G21" s="167"/>
      <c r="H21" s="168" t="s">
        <v>68</v>
      </c>
      <c r="I21" s="168" t="s">
        <v>69</v>
      </c>
      <c r="J21" s="168" t="s">
        <v>70</v>
      </c>
      <c r="K21" s="168" t="s">
        <v>71</v>
      </c>
      <c r="L21" s="168" t="s">
        <v>72</v>
      </c>
      <c r="M21" s="22" t="s">
        <v>37</v>
      </c>
      <c r="N21" s="3"/>
    </row>
    <row r="22" spans="1:14" ht="25.5">
      <c r="A22" s="3"/>
      <c r="B22" s="10" t="s">
        <v>197</v>
      </c>
      <c r="C22" s="73" t="s">
        <v>198</v>
      </c>
      <c r="D22" s="73"/>
      <c r="E22" s="141" t="s">
        <v>199</v>
      </c>
      <c r="F22" s="3"/>
      <c r="G22" s="190" t="s">
        <v>255</v>
      </c>
      <c r="H22" s="26">
        <f>C35</f>
        <v>3.2432400000000001</v>
      </c>
      <c r="I22" s="26">
        <f>C35</f>
        <v>3.2432400000000001</v>
      </c>
      <c r="J22" s="26">
        <f>C35</f>
        <v>3.2432400000000001</v>
      </c>
      <c r="K22" s="26">
        <f>C35</f>
        <v>3.2432400000000001</v>
      </c>
      <c r="L22" s="26">
        <f>C35</f>
        <v>3.2432400000000001</v>
      </c>
      <c r="M22" s="171">
        <f>SUM(H22:L22)</f>
        <v>16.216200000000001</v>
      </c>
      <c r="N22" s="3"/>
    </row>
    <row r="23" spans="1:14" ht="12.75">
      <c r="A23" s="3"/>
      <c r="B23" s="10" t="s">
        <v>200</v>
      </c>
      <c r="C23" s="26">
        <v>1430</v>
      </c>
      <c r="D23" s="73" t="s">
        <v>201</v>
      </c>
      <c r="E23" s="141" t="s">
        <v>199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2.75">
      <c r="A24" s="3"/>
      <c r="B24" s="10" t="s">
        <v>202</v>
      </c>
      <c r="C24" s="26">
        <v>1400</v>
      </c>
      <c r="D24" s="73" t="s">
        <v>203</v>
      </c>
      <c r="E24" s="141" t="s">
        <v>204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2.75">
      <c r="A25" s="3"/>
      <c r="B25" s="10" t="s">
        <v>205</v>
      </c>
      <c r="C25" s="152">
        <v>0.12</v>
      </c>
      <c r="D25" s="181"/>
      <c r="E25" s="141" t="s">
        <v>206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2.75">
      <c r="A26" s="3"/>
      <c r="B26" s="10" t="s">
        <v>207</v>
      </c>
      <c r="C26" s="33">
        <v>3</v>
      </c>
      <c r="D26" s="182" t="s">
        <v>208</v>
      </c>
      <c r="E26" s="35"/>
      <c r="F26" s="3"/>
      <c r="G26" s="3"/>
      <c r="H26" s="3"/>
      <c r="I26" s="3"/>
      <c r="J26" s="3"/>
      <c r="K26" s="3"/>
      <c r="L26" s="3"/>
      <c r="M26" s="3"/>
      <c r="N26" s="3"/>
    </row>
    <row r="27" spans="1:14" ht="12.75">
      <c r="A27" s="3"/>
      <c r="B27" s="10" t="s">
        <v>209</v>
      </c>
      <c r="C27" s="26">
        <f>C24*C26*C25</f>
        <v>504</v>
      </c>
      <c r="D27" s="73" t="s">
        <v>210</v>
      </c>
      <c r="E27" s="35"/>
      <c r="F27" s="3"/>
      <c r="G27" s="3"/>
      <c r="H27" s="3"/>
      <c r="I27" s="3"/>
      <c r="J27" s="3"/>
      <c r="K27" s="3"/>
      <c r="L27" s="3"/>
      <c r="M27" s="3"/>
      <c r="N27" s="3"/>
    </row>
    <row r="28" spans="1:14" ht="12.75">
      <c r="A28" s="3"/>
      <c r="B28" s="10" t="s">
        <v>211</v>
      </c>
      <c r="C28" s="26">
        <f>C27*C21</f>
        <v>2268</v>
      </c>
      <c r="D28" s="73" t="s">
        <v>212</v>
      </c>
      <c r="E28" s="35"/>
      <c r="F28" s="3"/>
      <c r="G28" s="3"/>
      <c r="H28" s="3"/>
      <c r="I28" s="3"/>
      <c r="J28" s="3"/>
      <c r="K28" s="3"/>
      <c r="L28" s="3"/>
      <c r="M28" s="3"/>
      <c r="N28" s="3"/>
    </row>
    <row r="29" spans="1:14" ht="12.75">
      <c r="A29" s="3"/>
      <c r="B29" s="10" t="s">
        <v>213</v>
      </c>
      <c r="C29" s="26">
        <f>C28*5</f>
        <v>11340</v>
      </c>
      <c r="D29" s="73" t="s">
        <v>214</v>
      </c>
      <c r="E29" s="35"/>
      <c r="F29" s="3"/>
      <c r="G29" s="3"/>
      <c r="H29" s="3"/>
      <c r="I29" s="3"/>
      <c r="J29" s="3"/>
      <c r="K29" s="3"/>
      <c r="L29" s="3"/>
      <c r="M29" s="3"/>
      <c r="N29" s="3"/>
    </row>
    <row r="30" spans="1:14" ht="29.25" customHeight="1">
      <c r="A30" s="3"/>
      <c r="B30" s="99" t="s">
        <v>215</v>
      </c>
      <c r="C30" s="26">
        <f>C28*C23</f>
        <v>3243240</v>
      </c>
      <c r="D30" s="73" t="s">
        <v>212</v>
      </c>
      <c r="E30" s="183"/>
      <c r="F30" s="3"/>
      <c r="G30" s="3"/>
      <c r="H30" s="3"/>
      <c r="I30" s="3"/>
      <c r="J30" s="3"/>
      <c r="K30" s="3"/>
      <c r="L30" s="3"/>
      <c r="M30" s="3"/>
      <c r="N30" s="3"/>
    </row>
    <row r="31" spans="1:14" ht="28.5" customHeight="1">
      <c r="A31" s="3"/>
      <c r="B31" s="99" t="s">
        <v>216</v>
      </c>
      <c r="C31" s="26">
        <f>C30*5</f>
        <v>16216200</v>
      </c>
      <c r="D31" s="73" t="s">
        <v>217</v>
      </c>
      <c r="E31" s="183"/>
      <c r="F31" s="3"/>
      <c r="G31" s="3"/>
      <c r="H31" s="3"/>
      <c r="I31" s="3"/>
      <c r="J31" s="3"/>
      <c r="K31" s="3"/>
      <c r="L31" s="3"/>
      <c r="M31" s="3"/>
      <c r="N31" s="3"/>
    </row>
    <row r="32" spans="1:14" ht="25.5" customHeight="1">
      <c r="A32" s="3"/>
      <c r="B32" s="99" t="s">
        <v>218</v>
      </c>
      <c r="C32" s="26">
        <f>C30/1000000</f>
        <v>3.2432400000000001</v>
      </c>
      <c r="D32" s="73" t="s">
        <v>137</v>
      </c>
      <c r="E32" s="183"/>
      <c r="F32" s="3"/>
      <c r="G32" s="3"/>
      <c r="H32" s="3"/>
      <c r="I32" s="3"/>
      <c r="J32" s="3"/>
      <c r="K32" s="3"/>
      <c r="L32" s="3"/>
      <c r="M32" s="3"/>
      <c r="N32" s="3"/>
    </row>
    <row r="33" spans="1:14" ht="24" customHeight="1">
      <c r="A33" s="3"/>
      <c r="B33" s="99" t="s">
        <v>219</v>
      </c>
      <c r="C33" s="26">
        <f>C31/1000000</f>
        <v>16.216200000000001</v>
      </c>
      <c r="D33" s="73" t="s">
        <v>193</v>
      </c>
      <c r="E33" s="35"/>
      <c r="F33" s="3"/>
      <c r="G33" s="3"/>
      <c r="H33" s="3"/>
      <c r="I33" s="3"/>
      <c r="J33" s="3"/>
      <c r="K33" s="3"/>
      <c r="L33" s="3"/>
      <c r="M33" s="3"/>
      <c r="N33" s="3"/>
    </row>
    <row r="34" spans="1:14" ht="27.75" customHeight="1">
      <c r="A34" s="3"/>
      <c r="B34" s="99" t="s">
        <v>148</v>
      </c>
      <c r="C34" s="152">
        <v>1</v>
      </c>
      <c r="D34" s="96"/>
      <c r="E34" s="35"/>
      <c r="F34" s="3"/>
      <c r="G34" s="3"/>
      <c r="H34" s="52"/>
      <c r="I34" s="3"/>
      <c r="J34" s="3"/>
      <c r="K34" s="3"/>
      <c r="L34" s="3"/>
      <c r="M34" s="3"/>
      <c r="N34" s="3"/>
    </row>
    <row r="35" spans="1:14" ht="25.5" customHeight="1">
      <c r="A35" s="3"/>
      <c r="B35" s="106" t="s">
        <v>220</v>
      </c>
      <c r="C35" s="184">
        <f>C34*C32</f>
        <v>3.2432400000000001</v>
      </c>
      <c r="D35" s="185" t="s">
        <v>137</v>
      </c>
      <c r="E35" s="186"/>
      <c r="F35" s="3"/>
      <c r="G35" s="3"/>
      <c r="H35" s="52"/>
      <c r="I35" s="3"/>
      <c r="J35" s="3"/>
      <c r="K35" s="3"/>
      <c r="L35" s="3"/>
      <c r="M35" s="3"/>
      <c r="N35" s="3"/>
    </row>
    <row r="36" spans="1:14" ht="12.75">
      <c r="A36" s="3"/>
      <c r="B36" s="157"/>
      <c r="C36" s="187"/>
      <c r="D36" s="188"/>
      <c r="E36" s="110"/>
      <c r="F36" s="3"/>
      <c r="G36" s="3"/>
      <c r="J36" s="3"/>
      <c r="K36" s="3"/>
      <c r="L36" s="3"/>
      <c r="M36" s="3"/>
      <c r="N36" s="3"/>
    </row>
    <row r="37" spans="1:14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2.75">
      <c r="A38" s="3"/>
      <c r="B38" s="265" t="s">
        <v>221</v>
      </c>
      <c r="C38" s="224"/>
      <c r="D38" s="224"/>
      <c r="E38" s="225"/>
      <c r="F38" s="3"/>
      <c r="G38" s="248" t="s">
        <v>222</v>
      </c>
      <c r="H38" s="224"/>
      <c r="I38" s="224"/>
      <c r="J38" s="224"/>
      <c r="K38" s="224"/>
      <c r="L38" s="224"/>
      <c r="M38" s="225"/>
      <c r="N38" s="3"/>
    </row>
    <row r="39" spans="1:14" ht="12.75">
      <c r="A39" s="3"/>
      <c r="B39" s="165" t="s">
        <v>164</v>
      </c>
      <c r="C39" s="165" t="s">
        <v>165</v>
      </c>
      <c r="D39" s="166" t="s">
        <v>10</v>
      </c>
      <c r="E39" s="165" t="s">
        <v>166</v>
      </c>
      <c r="F39" s="3"/>
      <c r="G39" s="189"/>
      <c r="H39" s="59"/>
      <c r="I39" s="59"/>
      <c r="J39" s="59"/>
      <c r="K39" s="59"/>
      <c r="L39" s="59"/>
      <c r="M39" s="163"/>
      <c r="N39" s="3"/>
    </row>
    <row r="40" spans="1:14" ht="12.75">
      <c r="A40" s="3"/>
      <c r="B40" s="99" t="s">
        <v>223</v>
      </c>
      <c r="C40" s="33">
        <v>5</v>
      </c>
      <c r="D40" s="73" t="s">
        <v>224</v>
      </c>
      <c r="E40" s="190"/>
      <c r="F40" s="3"/>
      <c r="G40" s="167"/>
      <c r="H40" s="168" t="s">
        <v>68</v>
      </c>
      <c r="I40" s="168" t="s">
        <v>69</v>
      </c>
      <c r="J40" s="168" t="s">
        <v>70</v>
      </c>
      <c r="K40" s="168" t="s">
        <v>71</v>
      </c>
      <c r="L40" s="168" t="s">
        <v>72</v>
      </c>
      <c r="M40" s="22" t="s">
        <v>37</v>
      </c>
      <c r="N40" s="3"/>
    </row>
    <row r="41" spans="1:14" ht="25.5">
      <c r="A41" s="3"/>
      <c r="B41" s="99" t="s">
        <v>225</v>
      </c>
      <c r="C41" s="10">
        <v>120</v>
      </c>
      <c r="D41" s="73" t="s">
        <v>114</v>
      </c>
      <c r="E41" s="190"/>
      <c r="F41" s="3"/>
      <c r="G41" s="190" t="s">
        <v>255</v>
      </c>
      <c r="H41" s="153">
        <f>C50</f>
        <v>199.07718599999998</v>
      </c>
      <c r="I41" s="153">
        <f>C50</f>
        <v>199.07718599999998</v>
      </c>
      <c r="J41" s="153">
        <f>C50</f>
        <v>199.07718599999998</v>
      </c>
      <c r="K41" s="153">
        <f>C50</f>
        <v>199.07718599999998</v>
      </c>
      <c r="L41" s="153">
        <f>C50</f>
        <v>199.07718599999998</v>
      </c>
      <c r="M41" s="191">
        <f>SUM(H41:L41)</f>
        <v>995.38592999999992</v>
      </c>
      <c r="N41" s="3"/>
    </row>
    <row r="42" spans="1:14" ht="12.75">
      <c r="A42" s="3"/>
      <c r="B42" s="99" t="s">
        <v>226</v>
      </c>
      <c r="C42" s="10">
        <f>C41*C40</f>
        <v>600</v>
      </c>
      <c r="D42" s="73" t="s">
        <v>185</v>
      </c>
      <c r="E42" s="190"/>
      <c r="F42" s="3"/>
      <c r="G42" s="3"/>
      <c r="H42" s="3"/>
      <c r="I42" s="3"/>
      <c r="J42" s="3"/>
      <c r="K42" s="3"/>
      <c r="L42" s="3"/>
      <c r="M42" s="3"/>
      <c r="N42" s="3"/>
    </row>
    <row r="43" spans="1:14" ht="25.5">
      <c r="A43" s="3"/>
      <c r="B43" s="99" t="s">
        <v>227</v>
      </c>
      <c r="C43" s="152">
        <v>0.5</v>
      </c>
      <c r="D43" s="181"/>
      <c r="E43" s="192" t="s">
        <v>228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24.75" customHeight="1">
      <c r="A44" s="3"/>
      <c r="B44" s="99" t="s">
        <v>160</v>
      </c>
      <c r="C44" s="152">
        <v>0.35</v>
      </c>
      <c r="D44" s="181"/>
      <c r="E44" s="35"/>
      <c r="F44" s="3"/>
      <c r="G44" s="3"/>
      <c r="H44" s="3"/>
      <c r="I44" s="3"/>
      <c r="J44" s="3"/>
      <c r="K44" s="3"/>
      <c r="L44" s="3"/>
      <c r="M44" s="3"/>
      <c r="N44" s="3"/>
    </row>
    <row r="45" spans="1:14" ht="12.75">
      <c r="A45" s="3"/>
      <c r="B45" s="10" t="s">
        <v>229</v>
      </c>
      <c r="C45" s="35">
        <f>C43*C42</f>
        <v>300</v>
      </c>
      <c r="D45" s="73" t="s">
        <v>185</v>
      </c>
      <c r="E45" s="35"/>
      <c r="F45" s="3"/>
      <c r="G45" s="3"/>
      <c r="H45" s="3"/>
      <c r="I45" s="3"/>
      <c r="J45" s="3"/>
      <c r="K45" s="3"/>
      <c r="L45" s="3"/>
      <c r="M45" s="3"/>
      <c r="N45" s="3"/>
    </row>
    <row r="46" spans="1:14" ht="27" customHeight="1">
      <c r="A46" s="3"/>
      <c r="B46" s="99" t="s">
        <v>230</v>
      </c>
      <c r="C46" s="10">
        <v>0.86</v>
      </c>
      <c r="D46" s="73" t="s">
        <v>114</v>
      </c>
      <c r="E46" s="141" t="s">
        <v>231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 ht="12.75">
      <c r="A47" s="3"/>
      <c r="B47" s="10" t="s">
        <v>232</v>
      </c>
      <c r="C47" s="10">
        <v>1.1023099999999999</v>
      </c>
      <c r="D47" s="73"/>
      <c r="E47" s="35"/>
      <c r="F47" s="3"/>
      <c r="G47" s="3"/>
      <c r="H47" s="3"/>
      <c r="I47" s="3"/>
      <c r="J47" s="3"/>
      <c r="K47" s="3"/>
      <c r="L47" s="3"/>
      <c r="M47" s="3"/>
      <c r="N47" s="3"/>
    </row>
    <row r="48" spans="1:14" ht="12.75">
      <c r="A48" s="3"/>
      <c r="B48" s="10" t="s">
        <v>229</v>
      </c>
      <c r="C48" s="153">
        <f>C45*C47</f>
        <v>330.69299999999998</v>
      </c>
      <c r="D48" s="101" t="s">
        <v>233</v>
      </c>
      <c r="E48" s="35"/>
      <c r="F48" s="3"/>
      <c r="G48" s="3"/>
      <c r="H48" s="3"/>
      <c r="I48" s="3"/>
      <c r="J48" s="3"/>
      <c r="K48" s="3"/>
      <c r="L48" s="3"/>
      <c r="M48" s="3"/>
      <c r="N48" s="3"/>
    </row>
    <row r="49" spans="1:14" ht="26.25" customHeight="1">
      <c r="A49" s="3"/>
      <c r="B49" s="99" t="s">
        <v>234</v>
      </c>
      <c r="C49" s="153">
        <f>C46*C48</f>
        <v>284.39598000000001</v>
      </c>
      <c r="D49" s="73" t="s">
        <v>185</v>
      </c>
      <c r="E49" s="35"/>
      <c r="F49" s="3"/>
      <c r="G49" s="3"/>
      <c r="H49" s="52"/>
      <c r="I49" s="3"/>
      <c r="J49" s="3"/>
      <c r="K49" s="3"/>
      <c r="L49" s="3"/>
      <c r="M49" s="3"/>
      <c r="N49" s="3"/>
    </row>
    <row r="50" spans="1:14" ht="26.25" customHeight="1">
      <c r="A50" s="3"/>
      <c r="B50" s="99" t="s">
        <v>235</v>
      </c>
      <c r="C50" s="153">
        <f>C44*C42*C47*C46</f>
        <v>199.07718599999998</v>
      </c>
      <c r="D50" s="73" t="s">
        <v>185</v>
      </c>
      <c r="E50" s="35"/>
      <c r="F50" s="3"/>
      <c r="G50" s="3"/>
      <c r="H50" s="52"/>
      <c r="I50" s="3"/>
      <c r="J50" s="3"/>
      <c r="K50" s="3"/>
      <c r="L50" s="3"/>
      <c r="M50" s="3"/>
      <c r="N50" s="3"/>
    </row>
    <row r="51" spans="1:14" ht="24.75" customHeight="1">
      <c r="A51" s="3"/>
      <c r="B51" s="99" t="s">
        <v>236</v>
      </c>
      <c r="C51" s="26">
        <f>C49*5</f>
        <v>1421.9799</v>
      </c>
      <c r="D51" s="73" t="s">
        <v>185</v>
      </c>
      <c r="E51" s="35"/>
      <c r="F51" s="3"/>
      <c r="G51" s="3"/>
      <c r="H51" s="3"/>
      <c r="I51" s="3"/>
      <c r="J51" s="3"/>
      <c r="K51" s="3"/>
      <c r="L51" s="3"/>
      <c r="M51" s="3"/>
      <c r="N51" s="3"/>
    </row>
    <row r="52" spans="1:14" ht="12.75">
      <c r="A52" s="3"/>
      <c r="B52" s="3"/>
      <c r="C52" s="3"/>
      <c r="D52" s="3"/>
      <c r="E52" s="3"/>
      <c r="F52" s="3"/>
      <c r="G52" s="3"/>
      <c r="H52" s="168" t="s">
        <v>68</v>
      </c>
      <c r="I52" s="168" t="s">
        <v>69</v>
      </c>
      <c r="J52" s="168" t="s">
        <v>70</v>
      </c>
      <c r="K52" s="168" t="s">
        <v>71</v>
      </c>
      <c r="L52" s="168" t="s">
        <v>72</v>
      </c>
      <c r="M52" s="23"/>
      <c r="N52" s="3"/>
    </row>
    <row r="53" spans="1:14" ht="15">
      <c r="A53" s="3"/>
      <c r="B53" s="3"/>
      <c r="C53" s="3"/>
      <c r="D53" s="3"/>
      <c r="E53" s="3"/>
      <c r="F53" s="3"/>
      <c r="G53" s="193" t="s">
        <v>106</v>
      </c>
      <c r="H53" s="194">
        <f t="shared" ref="H53:M53" si="0">H4+H22+H41</f>
        <v>477.73213857600001</v>
      </c>
      <c r="I53" s="194">
        <f t="shared" si="0"/>
        <v>477.73213857600001</v>
      </c>
      <c r="J53" s="194">
        <f t="shared" si="0"/>
        <v>477.73213857600001</v>
      </c>
      <c r="K53" s="194">
        <f t="shared" si="0"/>
        <v>477.73213857600001</v>
      </c>
      <c r="L53" s="194">
        <f t="shared" si="0"/>
        <v>477.73213857600001</v>
      </c>
      <c r="M53" s="195">
        <f t="shared" si="0"/>
        <v>2388.6606928800002</v>
      </c>
      <c r="N53" s="3"/>
    </row>
    <row r="54" spans="1:14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>
      <c r="A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>
      <c r="A62" s="3"/>
      <c r="F62" s="3"/>
      <c r="G62" s="3"/>
      <c r="H62" s="3"/>
      <c r="I62" s="3"/>
      <c r="J62" s="3"/>
      <c r="K62" s="3"/>
      <c r="L62" s="3"/>
      <c r="M62" s="3"/>
      <c r="N62" s="3"/>
    </row>
  </sheetData>
  <mergeCells count="6">
    <mergeCell ref="B1:E1"/>
    <mergeCell ref="G1:M1"/>
    <mergeCell ref="B19:E19"/>
    <mergeCell ref="G19:M19"/>
    <mergeCell ref="B38:E38"/>
    <mergeCell ref="G38:M38"/>
  </mergeCells>
  <hyperlinks>
    <hyperlink ref="E4" r:id="rId1" location=":~:text=Normally%2C%20a%2010%2Dsquare%2D,storage%20runs%20normally%20one%20day." xr:uid="{00000000-0004-0000-0C00-000000000000}"/>
    <hyperlink ref="E5" r:id="rId2" location=":~:text=Normally%2C%20a%2010%2Dsquare%2D,storage%20runs%20normally%20one%20day." xr:uid="{00000000-0004-0000-0C00-000001000000}"/>
    <hyperlink ref="E10" r:id="rId3" xr:uid="{00000000-0004-0000-0C00-000002000000}"/>
    <hyperlink ref="E22" r:id="rId4" xr:uid="{00000000-0004-0000-0C00-000003000000}"/>
    <hyperlink ref="E23" r:id="rId5" xr:uid="{00000000-0004-0000-0C00-000004000000}"/>
    <hyperlink ref="E24" r:id="rId6" xr:uid="{00000000-0004-0000-0C00-000005000000}"/>
    <hyperlink ref="E25" r:id="rId7" xr:uid="{00000000-0004-0000-0C00-000006000000}"/>
    <hyperlink ref="E43" r:id="rId8" location=":~:text=The%20problem%20of%20post%2Dharvest,packaging%20stages%20year%20%5B8%5D." xr:uid="{00000000-0004-0000-0C00-000007000000}"/>
    <hyperlink ref="E46" r:id="rId9" location=":~:text=For%20each%20metric%20ton%20of,effectively%20a%201%3A1%20equivalent" xr:uid="{00000000-0004-0000-0C00-000008000000}"/>
  </hyperlinks>
  <pageMargins left="0.7" right="0.7" top="0.75" bottom="0.75" header="0.3" footer="0.3"/>
  <ignoredErrors>
    <ignoredError sqref="C3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46"/>
  <sheetViews>
    <sheetView showGridLines="0" workbookViewId="0">
      <selection activeCell="G17" sqref="G17"/>
    </sheetView>
  </sheetViews>
  <sheetFormatPr defaultColWidth="12.5703125" defaultRowHeight="15.75" customHeight="1"/>
  <cols>
    <col min="1" max="1" width="6.5703125" customWidth="1"/>
    <col min="2" max="2" width="50.85546875" customWidth="1"/>
    <col min="4" max="4" width="12.140625" customWidth="1"/>
    <col min="5" max="5" width="25.5703125" customWidth="1"/>
    <col min="6" max="6" width="7.5703125" customWidth="1"/>
    <col min="7" max="7" width="16" customWidth="1"/>
  </cols>
  <sheetData>
    <row r="1" spans="1:14" ht="12.75">
      <c r="A1" s="3"/>
      <c r="B1" s="265" t="s">
        <v>163</v>
      </c>
      <c r="C1" s="224"/>
      <c r="D1" s="224"/>
      <c r="E1" s="225"/>
      <c r="F1" s="3"/>
      <c r="G1" s="248" t="s">
        <v>154</v>
      </c>
      <c r="H1" s="224"/>
      <c r="I1" s="224"/>
      <c r="J1" s="224"/>
      <c r="K1" s="224"/>
      <c r="L1" s="224"/>
      <c r="M1" s="225"/>
      <c r="N1" s="3"/>
    </row>
    <row r="2" spans="1:14" ht="12.75">
      <c r="A2" s="3"/>
      <c r="B2" s="165" t="s">
        <v>164</v>
      </c>
      <c r="C2" s="165" t="s">
        <v>165</v>
      </c>
      <c r="D2" s="166" t="s">
        <v>10</v>
      </c>
      <c r="E2" s="165" t="s">
        <v>166</v>
      </c>
      <c r="F2" s="3"/>
      <c r="G2" s="65"/>
      <c r="H2" s="3"/>
      <c r="I2" s="3"/>
      <c r="J2" s="3"/>
      <c r="K2" s="3"/>
      <c r="L2" s="3"/>
      <c r="M2" s="53"/>
      <c r="N2" s="3"/>
    </row>
    <row r="3" spans="1:14" ht="12.75">
      <c r="A3" s="3"/>
      <c r="B3" s="149" t="s">
        <v>167</v>
      </c>
      <c r="C3" s="97">
        <v>40</v>
      </c>
      <c r="D3" s="97" t="s">
        <v>168</v>
      </c>
      <c r="E3" s="142"/>
      <c r="F3" s="3"/>
      <c r="G3" s="167"/>
      <c r="H3" s="168" t="s">
        <v>68</v>
      </c>
      <c r="I3" s="168" t="s">
        <v>69</v>
      </c>
      <c r="J3" s="168" t="s">
        <v>70</v>
      </c>
      <c r="K3" s="168" t="s">
        <v>71</v>
      </c>
      <c r="L3" s="168" t="s">
        <v>72</v>
      </c>
      <c r="M3" s="22" t="s">
        <v>37</v>
      </c>
      <c r="N3" s="3"/>
    </row>
    <row r="4" spans="1:14" ht="24.75" customHeight="1">
      <c r="A4" s="3"/>
      <c r="B4" s="82" t="s">
        <v>169</v>
      </c>
      <c r="C4" s="169" t="s">
        <v>170</v>
      </c>
      <c r="D4" s="170" t="s">
        <v>171</v>
      </c>
      <c r="E4" s="142" t="s">
        <v>172</v>
      </c>
      <c r="F4" s="3"/>
      <c r="G4" s="190" t="s">
        <v>256</v>
      </c>
      <c r="H4" s="26">
        <f>C16</f>
        <v>104.69586569302328</v>
      </c>
      <c r="I4" s="26">
        <f>C16</f>
        <v>104.69586569302328</v>
      </c>
      <c r="J4" s="26">
        <f>C16</f>
        <v>104.69586569302328</v>
      </c>
      <c r="K4" s="26">
        <f>C16</f>
        <v>104.69586569302328</v>
      </c>
      <c r="L4" s="26">
        <f>C16</f>
        <v>104.69586569302328</v>
      </c>
      <c r="M4" s="171">
        <f>SUM(H4:L4)</f>
        <v>523.4793284651164</v>
      </c>
      <c r="N4" s="3"/>
    </row>
    <row r="5" spans="1:14" ht="12.75">
      <c r="A5" s="3"/>
      <c r="B5" s="82" t="s">
        <v>237</v>
      </c>
      <c r="C5" s="97">
        <v>43</v>
      </c>
      <c r="D5" s="97" t="s">
        <v>168</v>
      </c>
      <c r="E5" s="142" t="s">
        <v>172</v>
      </c>
      <c r="F5" s="3"/>
      <c r="G5" s="3"/>
      <c r="H5" s="3"/>
      <c r="I5" s="3"/>
      <c r="J5" s="3"/>
      <c r="K5" s="3"/>
      <c r="L5" s="3"/>
      <c r="M5" s="3"/>
      <c r="N5" s="3"/>
    </row>
    <row r="6" spans="1:14" ht="12.75">
      <c r="A6" s="3"/>
      <c r="B6" s="82" t="s">
        <v>173</v>
      </c>
      <c r="C6" s="97">
        <v>21.25</v>
      </c>
      <c r="D6" s="97" t="s">
        <v>174</v>
      </c>
      <c r="E6" s="142" t="s">
        <v>172</v>
      </c>
      <c r="F6" s="3"/>
      <c r="G6" s="3"/>
      <c r="H6" s="3"/>
      <c r="I6" s="3"/>
      <c r="J6" s="3"/>
      <c r="K6" s="3"/>
      <c r="L6" s="3"/>
      <c r="M6" s="3"/>
      <c r="N6" s="3"/>
    </row>
    <row r="7" spans="1:14" ht="12.75">
      <c r="A7" s="3"/>
      <c r="B7" s="82" t="s">
        <v>175</v>
      </c>
      <c r="C7" s="169">
        <v>24</v>
      </c>
      <c r="D7" s="97" t="s">
        <v>67</v>
      </c>
      <c r="E7" s="172"/>
      <c r="F7" s="3"/>
      <c r="G7" s="3"/>
      <c r="H7" s="3"/>
      <c r="I7" s="3"/>
      <c r="J7" s="3"/>
      <c r="K7" s="3"/>
      <c r="L7" s="3"/>
      <c r="M7" s="3"/>
      <c r="N7" s="3"/>
    </row>
    <row r="8" spans="1:14" ht="12.75">
      <c r="A8" s="3"/>
      <c r="B8" s="82" t="s">
        <v>176</v>
      </c>
      <c r="C8" s="173">
        <v>7</v>
      </c>
      <c r="D8" s="97" t="s">
        <v>74</v>
      </c>
      <c r="E8" s="172"/>
      <c r="F8" s="3"/>
      <c r="G8" s="3"/>
      <c r="H8" s="3"/>
      <c r="I8" s="3"/>
      <c r="J8" s="174" t="s">
        <v>20</v>
      </c>
      <c r="K8" s="196">
        <f>C35</f>
        <v>473.99329999999998</v>
      </c>
      <c r="L8" s="3"/>
      <c r="M8" s="3"/>
      <c r="N8" s="3"/>
    </row>
    <row r="9" spans="1:14" ht="12.75">
      <c r="A9" s="3"/>
      <c r="B9" s="82" t="s">
        <v>238</v>
      </c>
      <c r="C9" s="144">
        <f>C3/C5*C6</f>
        <v>19.767441860465116</v>
      </c>
      <c r="D9" s="97" t="s">
        <v>174</v>
      </c>
      <c r="E9" s="172"/>
      <c r="F9" s="3"/>
      <c r="G9" s="3"/>
      <c r="H9" s="3"/>
      <c r="I9" s="3"/>
      <c r="J9" s="174" t="s">
        <v>239</v>
      </c>
      <c r="K9" s="88">
        <f>C18</f>
        <v>523.4793284651164</v>
      </c>
      <c r="L9" s="3"/>
      <c r="M9" s="3"/>
      <c r="N9" s="3"/>
    </row>
    <row r="10" spans="1:14" ht="12.75">
      <c r="A10" s="3"/>
      <c r="B10" s="149" t="s">
        <v>177</v>
      </c>
      <c r="C10" s="144">
        <f>C9*C7</f>
        <v>474.41860465116281</v>
      </c>
      <c r="D10" s="97" t="s">
        <v>178</v>
      </c>
      <c r="E10" s="172"/>
      <c r="F10" s="3"/>
      <c r="G10" s="3"/>
      <c r="H10" s="3"/>
      <c r="I10" s="3"/>
      <c r="J10" s="177" t="s">
        <v>183</v>
      </c>
      <c r="K10" s="197">
        <f>C35-M25</f>
        <v>142.19799</v>
      </c>
      <c r="L10" s="3"/>
      <c r="M10" s="3"/>
      <c r="N10" s="3"/>
    </row>
    <row r="11" spans="1:14" ht="51">
      <c r="A11" s="3"/>
      <c r="B11" s="149" t="s">
        <v>179</v>
      </c>
      <c r="C11" s="26">
        <f>C10*C8*52</f>
        <v>172688.37209302327</v>
      </c>
      <c r="D11" s="97" t="s">
        <v>180</v>
      </c>
      <c r="E11" s="172"/>
      <c r="F11" s="3"/>
      <c r="G11" s="3"/>
      <c r="H11" s="3"/>
      <c r="I11" s="3"/>
      <c r="J11" s="179" t="s">
        <v>188</v>
      </c>
      <c r="K11" s="94">
        <f>C18-M4</f>
        <v>0</v>
      </c>
      <c r="L11" s="3"/>
      <c r="M11" s="3"/>
      <c r="N11" s="3"/>
    </row>
    <row r="12" spans="1:14" ht="12.75">
      <c r="A12" s="3"/>
      <c r="B12" s="82" t="s">
        <v>132</v>
      </c>
      <c r="C12" s="169">
        <v>0.55000000000000004</v>
      </c>
      <c r="D12" s="97" t="s">
        <v>133</v>
      </c>
      <c r="E12" s="142" t="s">
        <v>134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ht="12.75">
      <c r="A13" s="3"/>
      <c r="B13" s="99" t="s">
        <v>92</v>
      </c>
      <c r="C13" s="100">
        <v>1.10231E-3</v>
      </c>
      <c r="D13" s="101" t="s">
        <v>135</v>
      </c>
      <c r="E13" s="35"/>
      <c r="F13" s="3"/>
      <c r="G13" s="3"/>
      <c r="H13" s="3"/>
      <c r="I13" s="3"/>
      <c r="J13" s="3"/>
      <c r="K13" s="3"/>
      <c r="L13" s="3"/>
      <c r="M13" s="3"/>
      <c r="N13" s="3"/>
    </row>
    <row r="14" spans="1:14" ht="12.75">
      <c r="A14" s="3"/>
      <c r="B14" s="99" t="s">
        <v>184</v>
      </c>
      <c r="C14" s="26">
        <f>(C11*C12)*C13</f>
        <v>104.69586569302328</v>
      </c>
      <c r="D14" s="101" t="s">
        <v>185</v>
      </c>
      <c r="E14" s="35"/>
      <c r="F14" s="3"/>
      <c r="G14" s="3"/>
      <c r="H14" s="3"/>
      <c r="I14" s="3"/>
      <c r="J14" s="3"/>
      <c r="K14" s="3"/>
      <c r="L14" s="3"/>
      <c r="M14" s="3"/>
      <c r="N14" s="3"/>
    </row>
    <row r="15" spans="1:14" ht="26.25" customHeight="1">
      <c r="A15" s="3"/>
      <c r="B15" s="99" t="s">
        <v>187</v>
      </c>
      <c r="C15" s="152">
        <v>1</v>
      </c>
      <c r="D15" s="152"/>
      <c r="E15" s="35"/>
      <c r="F15" s="3"/>
      <c r="G15" s="3"/>
      <c r="H15" s="3"/>
      <c r="I15" s="3"/>
      <c r="J15" s="3"/>
      <c r="K15" s="3"/>
      <c r="L15" s="3"/>
      <c r="M15" s="3"/>
      <c r="N15" s="3"/>
    </row>
    <row r="16" spans="1:14" ht="24.75" customHeight="1">
      <c r="A16" s="3"/>
      <c r="B16" s="99" t="s">
        <v>189</v>
      </c>
      <c r="C16" s="26">
        <f>C15*C14</f>
        <v>104.69586569302328</v>
      </c>
      <c r="D16" s="180" t="s">
        <v>137</v>
      </c>
      <c r="E16" s="35"/>
      <c r="F16" s="3"/>
      <c r="G16" s="3"/>
      <c r="H16" s="3"/>
      <c r="I16" s="3"/>
      <c r="J16" s="3"/>
      <c r="K16" s="3"/>
      <c r="L16" s="3"/>
      <c r="M16" s="3"/>
      <c r="N16" s="3"/>
    </row>
    <row r="17" spans="1:14" ht="24.75" customHeight="1">
      <c r="A17" s="3"/>
      <c r="B17" s="149" t="s">
        <v>190</v>
      </c>
      <c r="C17" s="26">
        <f>C11*5</f>
        <v>863441.86046511633</v>
      </c>
      <c r="D17" s="97" t="s">
        <v>191</v>
      </c>
      <c r="E17" s="35"/>
      <c r="F17" s="3"/>
      <c r="G17" s="3"/>
      <c r="J17" s="3"/>
      <c r="K17" s="3"/>
      <c r="L17" s="3"/>
      <c r="M17" s="3"/>
      <c r="N17" s="3"/>
    </row>
    <row r="18" spans="1:14" ht="26.25" customHeight="1">
      <c r="A18" s="3"/>
      <c r="B18" s="106" t="s">
        <v>192</v>
      </c>
      <c r="C18" s="184">
        <f>C14*5</f>
        <v>523.4793284651164</v>
      </c>
      <c r="D18" s="185" t="s">
        <v>193</v>
      </c>
      <c r="E18" s="186"/>
      <c r="F18" s="3"/>
      <c r="G18" s="3"/>
      <c r="J18" s="3"/>
      <c r="K18" s="3"/>
      <c r="L18" s="3"/>
      <c r="M18" s="3"/>
      <c r="N18" s="3"/>
    </row>
    <row r="19" spans="1:14" ht="12.75">
      <c r="A19" s="3"/>
      <c r="B19" s="157"/>
      <c r="C19" s="110"/>
      <c r="D19" s="188"/>
      <c r="E19" s="110"/>
      <c r="F19" s="3"/>
      <c r="G19" s="3"/>
      <c r="J19" s="3"/>
      <c r="K19" s="3"/>
      <c r="L19" s="3"/>
      <c r="M19" s="3"/>
      <c r="N19" s="3"/>
    </row>
    <row r="20" spans="1:14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2.75">
      <c r="A22" s="3"/>
      <c r="B22" s="265" t="s">
        <v>221</v>
      </c>
      <c r="C22" s="224"/>
      <c r="D22" s="224"/>
      <c r="E22" s="225"/>
      <c r="F22" s="3"/>
      <c r="G22" s="248" t="s">
        <v>222</v>
      </c>
      <c r="H22" s="224"/>
      <c r="I22" s="224"/>
      <c r="J22" s="224"/>
      <c r="K22" s="224"/>
      <c r="L22" s="224"/>
      <c r="M22" s="225"/>
      <c r="N22" s="3"/>
    </row>
    <row r="23" spans="1:14" ht="12.75">
      <c r="A23" s="3"/>
      <c r="B23" s="165" t="s">
        <v>164</v>
      </c>
      <c r="C23" s="165" t="s">
        <v>165</v>
      </c>
      <c r="D23" s="166" t="s">
        <v>10</v>
      </c>
      <c r="E23" s="165" t="s">
        <v>166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2.75">
      <c r="A24" s="3"/>
      <c r="B24" s="99" t="s">
        <v>223</v>
      </c>
      <c r="C24" s="33">
        <v>5</v>
      </c>
      <c r="D24" s="73" t="s">
        <v>224</v>
      </c>
      <c r="E24" s="35"/>
      <c r="F24" s="3"/>
      <c r="G24" s="167"/>
      <c r="H24" s="168" t="s">
        <v>68</v>
      </c>
      <c r="I24" s="168" t="s">
        <v>69</v>
      </c>
      <c r="J24" s="168" t="s">
        <v>70</v>
      </c>
      <c r="K24" s="168" t="s">
        <v>71</v>
      </c>
      <c r="L24" s="168" t="s">
        <v>72</v>
      </c>
      <c r="M24" s="22" t="s">
        <v>37</v>
      </c>
      <c r="N24" s="3"/>
    </row>
    <row r="25" spans="1:14" ht="25.5">
      <c r="A25" s="3"/>
      <c r="B25" s="99" t="s">
        <v>225</v>
      </c>
      <c r="C25" s="10">
        <v>40</v>
      </c>
      <c r="D25" s="73" t="s">
        <v>114</v>
      </c>
      <c r="E25" s="35"/>
      <c r="F25" s="3"/>
      <c r="G25" s="190" t="s">
        <v>256</v>
      </c>
      <c r="H25" s="153">
        <f>C34</f>
        <v>66.359061999999994</v>
      </c>
      <c r="I25" s="153">
        <f>C34</f>
        <v>66.359061999999994</v>
      </c>
      <c r="J25" s="153">
        <f>C34</f>
        <v>66.359061999999994</v>
      </c>
      <c r="K25" s="153">
        <f>C34</f>
        <v>66.359061999999994</v>
      </c>
      <c r="L25" s="153">
        <f>C34</f>
        <v>66.359061999999994</v>
      </c>
      <c r="M25" s="191">
        <f>SUM(H25:L25)</f>
        <v>331.79530999999997</v>
      </c>
      <c r="N25" s="3"/>
    </row>
    <row r="26" spans="1:14" ht="12.75">
      <c r="A26" s="3"/>
      <c r="B26" s="99" t="s">
        <v>226</v>
      </c>
      <c r="C26" s="10">
        <f>C25*C24</f>
        <v>200</v>
      </c>
      <c r="D26" s="73" t="s">
        <v>185</v>
      </c>
      <c r="E26" s="190"/>
      <c r="F26" s="3"/>
      <c r="G26" s="3"/>
      <c r="H26" s="3"/>
      <c r="I26" s="3"/>
      <c r="J26" s="3"/>
      <c r="K26" s="3"/>
      <c r="L26" s="3"/>
      <c r="M26" s="3"/>
      <c r="N26" s="3"/>
    </row>
    <row r="27" spans="1:14" ht="12.75">
      <c r="A27" s="3"/>
      <c r="B27" s="99" t="s">
        <v>227</v>
      </c>
      <c r="C27" s="152">
        <v>0.5</v>
      </c>
      <c r="D27" s="181"/>
      <c r="E27" s="190"/>
      <c r="F27" s="3"/>
      <c r="G27" s="3"/>
      <c r="H27" s="3"/>
      <c r="I27" s="3"/>
      <c r="J27" s="3"/>
      <c r="K27" s="3"/>
      <c r="L27" s="3"/>
      <c r="M27" s="3"/>
      <c r="N27" s="3"/>
    </row>
    <row r="28" spans="1:14" ht="25.5">
      <c r="A28" s="3"/>
      <c r="B28" s="99" t="s">
        <v>160</v>
      </c>
      <c r="C28" s="152">
        <v>0.35</v>
      </c>
      <c r="D28" s="181"/>
      <c r="E28" s="190"/>
      <c r="F28" s="3"/>
      <c r="G28" s="3"/>
      <c r="H28" s="3"/>
      <c r="I28" s="3"/>
      <c r="J28" s="3"/>
      <c r="K28" s="3"/>
      <c r="L28" s="3"/>
      <c r="M28" s="3"/>
      <c r="N28" s="3"/>
    </row>
    <row r="29" spans="1:14" ht="25.5">
      <c r="A29" s="3"/>
      <c r="B29" s="10" t="s">
        <v>229</v>
      </c>
      <c r="C29" s="35">
        <f>C27*C26</f>
        <v>100</v>
      </c>
      <c r="D29" s="73" t="s">
        <v>185</v>
      </c>
      <c r="E29" s="192" t="s">
        <v>228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25.5">
      <c r="A30" s="3"/>
      <c r="B30" s="99" t="s">
        <v>230</v>
      </c>
      <c r="C30" s="10">
        <v>0.86</v>
      </c>
      <c r="D30" s="73" t="s">
        <v>114</v>
      </c>
      <c r="E30" s="35"/>
      <c r="F30" s="3"/>
      <c r="I30" s="3"/>
      <c r="J30" s="3"/>
      <c r="K30" s="3"/>
      <c r="L30" s="3"/>
      <c r="M30" s="3"/>
      <c r="N30" s="3"/>
    </row>
    <row r="31" spans="1:14" ht="12.75">
      <c r="A31" s="3"/>
      <c r="B31" s="10" t="s">
        <v>232</v>
      </c>
      <c r="C31" s="10">
        <v>1.1023099999999999</v>
      </c>
      <c r="D31" s="73"/>
      <c r="E31" s="35"/>
      <c r="F31" s="3"/>
      <c r="I31" s="3"/>
      <c r="J31" s="3"/>
      <c r="K31" s="3"/>
      <c r="L31" s="3"/>
      <c r="M31" s="3"/>
      <c r="N31" s="3"/>
    </row>
    <row r="32" spans="1:14" ht="12.75">
      <c r="A32" s="3"/>
      <c r="B32" s="10" t="s">
        <v>229</v>
      </c>
      <c r="C32" s="153">
        <f>C29*C31</f>
        <v>110.23099999999999</v>
      </c>
      <c r="D32" s="101" t="s">
        <v>233</v>
      </c>
      <c r="E32" s="141" t="s">
        <v>231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27" customHeight="1">
      <c r="A33" s="3"/>
      <c r="B33" s="99" t="s">
        <v>234</v>
      </c>
      <c r="C33" s="153">
        <f>C30*C32</f>
        <v>94.798659999999998</v>
      </c>
      <c r="D33" s="73" t="s">
        <v>185</v>
      </c>
      <c r="E33" s="35"/>
      <c r="F33" s="3"/>
      <c r="G33" s="3"/>
      <c r="H33" s="52"/>
      <c r="I33" s="3"/>
      <c r="J33" s="3"/>
      <c r="K33" s="3"/>
      <c r="L33" s="3"/>
      <c r="M33" s="3"/>
      <c r="N33" s="3"/>
    </row>
    <row r="34" spans="1:14" ht="27.75" customHeight="1">
      <c r="A34" s="3"/>
      <c r="B34" s="99" t="s">
        <v>235</v>
      </c>
      <c r="C34" s="153">
        <f>C28*C26*C31*C30</f>
        <v>66.359061999999994</v>
      </c>
      <c r="D34" s="73" t="s">
        <v>185</v>
      </c>
      <c r="E34" s="35"/>
      <c r="F34" s="3"/>
      <c r="H34" s="52"/>
      <c r="I34" s="3"/>
      <c r="N34" s="3"/>
    </row>
    <row r="35" spans="1:14" ht="28.5" customHeight="1">
      <c r="A35" s="3"/>
      <c r="B35" s="99" t="s">
        <v>236</v>
      </c>
      <c r="C35" s="153">
        <f>C33*5</f>
        <v>473.99329999999998</v>
      </c>
      <c r="D35" s="73" t="s">
        <v>185</v>
      </c>
      <c r="E35" s="35"/>
      <c r="F35" s="3"/>
      <c r="N35" s="3"/>
    </row>
    <row r="36" spans="1:14" ht="12.75">
      <c r="A36" s="3"/>
      <c r="B36" s="3"/>
      <c r="C36" s="3"/>
      <c r="D36" s="3"/>
      <c r="E36" s="3"/>
      <c r="F36" s="3"/>
      <c r="G36" s="3"/>
      <c r="H36" s="168" t="s">
        <v>68</v>
      </c>
      <c r="I36" s="168" t="s">
        <v>69</v>
      </c>
      <c r="J36" s="168" t="s">
        <v>70</v>
      </c>
      <c r="K36" s="168" t="s">
        <v>71</v>
      </c>
      <c r="L36" s="168" t="s">
        <v>72</v>
      </c>
      <c r="M36" s="3"/>
      <c r="N36" s="3"/>
    </row>
    <row r="37" spans="1:14" ht="15">
      <c r="A37" s="3"/>
      <c r="B37" s="3"/>
      <c r="C37" s="3"/>
      <c r="D37" s="3"/>
      <c r="E37" s="3"/>
      <c r="F37" s="3"/>
      <c r="G37" s="193" t="s">
        <v>106</v>
      </c>
      <c r="H37" s="194">
        <f t="shared" ref="H37:M37" si="0">H4+H25</f>
        <v>171.05492769302327</v>
      </c>
      <c r="I37" s="194">
        <f t="shared" si="0"/>
        <v>171.05492769302327</v>
      </c>
      <c r="J37" s="194">
        <f t="shared" si="0"/>
        <v>171.05492769302327</v>
      </c>
      <c r="K37" s="194">
        <f t="shared" si="0"/>
        <v>171.05492769302327</v>
      </c>
      <c r="L37" s="194">
        <f t="shared" si="0"/>
        <v>171.05492769302327</v>
      </c>
      <c r="M37" s="194">
        <f t="shared" si="0"/>
        <v>855.27463846511637</v>
      </c>
      <c r="N37" s="3"/>
    </row>
    <row r="38" spans="1:14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2.75">
      <c r="A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2.75">
      <c r="A46" s="3"/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4">
    <mergeCell ref="B1:E1"/>
    <mergeCell ref="G1:M1"/>
    <mergeCell ref="B22:E22"/>
    <mergeCell ref="G22:M22"/>
  </mergeCells>
  <hyperlinks>
    <hyperlink ref="E4" r:id="rId1" location=":~:text=Normally%2C%20a%2010%2Dsquare%2D,storage%20runs%20normally%20one%20day." xr:uid="{00000000-0004-0000-0D00-000000000000}"/>
    <hyperlink ref="E5" r:id="rId2" location=":~:text=Normally%2C%20a%2010%2Dsquare%2D,storage%20runs%20normally%20one%20day." xr:uid="{00000000-0004-0000-0D00-000001000000}"/>
    <hyperlink ref="E6" r:id="rId3" location=":~:text=Normally%2C%20a%2010%2Dsquare%2D,storage%20runs%20normally%20one%20day." xr:uid="{00000000-0004-0000-0D00-000002000000}"/>
    <hyperlink ref="E12" r:id="rId4" xr:uid="{00000000-0004-0000-0D00-000003000000}"/>
    <hyperlink ref="E29" r:id="rId5" location=":~:text=The%20problem%20of%20post%2Dharvest,packaging%20stages%20year%20%5B8%5D." xr:uid="{00000000-0004-0000-0D00-000004000000}"/>
    <hyperlink ref="E32" r:id="rId6" location=":~:text=For%20each%20metric%20ton%20of,effectively%20a%201%3A1%20equivalent" xr:uid="{00000000-0004-0000-0D00-000005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61"/>
  <sheetViews>
    <sheetView showGridLines="0" workbookViewId="0">
      <selection activeCell="G8" sqref="G8"/>
    </sheetView>
  </sheetViews>
  <sheetFormatPr defaultColWidth="12.5703125" defaultRowHeight="15.75" customHeight="1"/>
  <cols>
    <col min="1" max="1" width="5.140625" customWidth="1"/>
    <col min="2" max="2" width="50.42578125" customWidth="1"/>
    <col min="4" max="4" width="15" customWidth="1"/>
    <col min="5" max="5" width="25.5703125" customWidth="1"/>
    <col min="6" max="6" width="7.5703125" customWidth="1"/>
    <col min="7" max="7" width="16" customWidth="1"/>
  </cols>
  <sheetData>
    <row r="1" spans="1:14" ht="12.75">
      <c r="A1" s="3"/>
      <c r="B1" s="265" t="s">
        <v>194</v>
      </c>
      <c r="C1" s="224"/>
      <c r="D1" s="224"/>
      <c r="E1" s="225"/>
      <c r="F1" s="3"/>
      <c r="G1" s="248" t="s">
        <v>195</v>
      </c>
      <c r="H1" s="224"/>
      <c r="I1" s="224"/>
      <c r="J1" s="224"/>
      <c r="K1" s="224"/>
      <c r="L1" s="224"/>
      <c r="M1" s="225"/>
      <c r="N1" s="3"/>
    </row>
    <row r="2" spans="1:14" ht="12.75">
      <c r="A2" s="3"/>
      <c r="B2" s="165" t="s">
        <v>164</v>
      </c>
      <c r="C2" s="165" t="s">
        <v>165</v>
      </c>
      <c r="D2" s="166" t="s">
        <v>10</v>
      </c>
      <c r="E2" s="165" t="s">
        <v>166</v>
      </c>
      <c r="F2" s="3"/>
      <c r="G2" s="65"/>
      <c r="H2" s="3"/>
      <c r="I2" s="3"/>
      <c r="J2" s="3"/>
      <c r="K2" s="3"/>
      <c r="L2" s="3"/>
      <c r="M2" s="53"/>
      <c r="N2" s="3"/>
    </row>
    <row r="3" spans="1:14" ht="12.75">
      <c r="A3" s="3"/>
      <c r="B3" s="10" t="s">
        <v>196</v>
      </c>
      <c r="C3" s="10">
        <v>1</v>
      </c>
      <c r="D3" s="73"/>
      <c r="E3" s="35"/>
      <c r="F3" s="3"/>
      <c r="G3" s="167"/>
      <c r="H3" s="168" t="s">
        <v>68</v>
      </c>
      <c r="I3" s="168" t="s">
        <v>69</v>
      </c>
      <c r="J3" s="168" t="s">
        <v>70</v>
      </c>
      <c r="K3" s="168" t="s">
        <v>71</v>
      </c>
      <c r="L3" s="168" t="s">
        <v>72</v>
      </c>
      <c r="M3" s="22" t="s">
        <v>37</v>
      </c>
      <c r="N3" s="3"/>
    </row>
    <row r="4" spans="1:14" ht="27.75" customHeight="1">
      <c r="A4" s="3"/>
      <c r="B4" s="10" t="s">
        <v>197</v>
      </c>
      <c r="C4" s="73" t="s">
        <v>198</v>
      </c>
      <c r="D4" s="73"/>
      <c r="E4" s="141" t="s">
        <v>199</v>
      </c>
      <c r="F4" s="3"/>
      <c r="G4" s="190" t="s">
        <v>257</v>
      </c>
      <c r="H4" s="26">
        <f>C17</f>
        <v>0.72072000000000003</v>
      </c>
      <c r="I4" s="26">
        <f>C17</f>
        <v>0.72072000000000003</v>
      </c>
      <c r="J4" s="26">
        <f>C17</f>
        <v>0.72072000000000003</v>
      </c>
      <c r="K4" s="26">
        <f>C17</f>
        <v>0.72072000000000003</v>
      </c>
      <c r="L4" s="26">
        <f>C17</f>
        <v>0.72072000000000003</v>
      </c>
      <c r="M4" s="171">
        <f>SUM(H4:L4)</f>
        <v>3.6036000000000001</v>
      </c>
      <c r="N4" s="3"/>
    </row>
    <row r="5" spans="1:14" ht="12.75">
      <c r="A5" s="3"/>
      <c r="B5" s="10" t="s">
        <v>200</v>
      </c>
      <c r="C5" s="26">
        <v>1430</v>
      </c>
      <c r="D5" s="73" t="s">
        <v>201</v>
      </c>
      <c r="E5" s="141" t="s">
        <v>199</v>
      </c>
      <c r="F5" s="3"/>
      <c r="G5" s="3"/>
      <c r="H5" s="3"/>
      <c r="I5" s="3"/>
      <c r="J5" s="3"/>
      <c r="K5" s="3"/>
      <c r="L5" s="3"/>
      <c r="M5" s="3"/>
      <c r="N5" s="3"/>
    </row>
    <row r="6" spans="1:14" ht="12.75">
      <c r="A6" s="3"/>
      <c r="B6" s="10" t="s">
        <v>202</v>
      </c>
      <c r="C6" s="26">
        <v>1400</v>
      </c>
      <c r="D6" s="73" t="s">
        <v>203</v>
      </c>
      <c r="E6" s="141" t="s">
        <v>204</v>
      </c>
      <c r="F6" s="3"/>
      <c r="G6" s="3"/>
      <c r="H6" s="3"/>
      <c r="I6" s="3"/>
      <c r="J6" s="3"/>
      <c r="K6" s="3"/>
      <c r="L6" s="3"/>
      <c r="M6" s="3"/>
      <c r="N6" s="3"/>
    </row>
    <row r="7" spans="1:14" ht="12.75">
      <c r="A7" s="3"/>
      <c r="B7" s="10" t="s">
        <v>205</v>
      </c>
      <c r="C7" s="152">
        <v>0.12</v>
      </c>
      <c r="D7" s="181"/>
      <c r="E7" s="141" t="s">
        <v>206</v>
      </c>
      <c r="F7" s="3"/>
      <c r="G7" s="3"/>
      <c r="H7" s="3"/>
      <c r="I7" s="3"/>
      <c r="J7" s="174" t="s">
        <v>20</v>
      </c>
      <c r="K7" s="196">
        <f>C55</f>
        <v>473.99329999999998</v>
      </c>
      <c r="L7" s="3"/>
      <c r="M7" s="3"/>
      <c r="N7" s="3"/>
    </row>
    <row r="8" spans="1:14" ht="12.75">
      <c r="A8" s="3"/>
      <c r="B8" s="10" t="s">
        <v>207</v>
      </c>
      <c r="C8" s="33">
        <v>3</v>
      </c>
      <c r="D8" s="182" t="s">
        <v>208</v>
      </c>
      <c r="E8" s="35"/>
      <c r="F8" s="3"/>
      <c r="G8" s="3"/>
      <c r="H8" s="3"/>
      <c r="I8" s="3"/>
      <c r="J8" s="174" t="s">
        <v>239</v>
      </c>
      <c r="K8" s="88">
        <f>C38</f>
        <v>523.4793284651164</v>
      </c>
      <c r="L8" s="3"/>
      <c r="M8" s="3"/>
      <c r="N8" s="3"/>
    </row>
    <row r="9" spans="1:14" ht="12.75">
      <c r="A9" s="3"/>
      <c r="B9" s="10" t="s">
        <v>209</v>
      </c>
      <c r="C9" s="26">
        <f>C6*C8*C7</f>
        <v>504</v>
      </c>
      <c r="D9" s="73" t="s">
        <v>210</v>
      </c>
      <c r="E9" s="35"/>
      <c r="F9" s="3"/>
      <c r="G9" s="3"/>
      <c r="H9" s="3"/>
      <c r="I9" s="3"/>
      <c r="J9" s="175" t="s">
        <v>182</v>
      </c>
      <c r="K9" s="88">
        <f>C15</f>
        <v>3.6036000000000001</v>
      </c>
      <c r="L9" s="3"/>
      <c r="M9" s="3"/>
      <c r="N9" s="3"/>
    </row>
    <row r="10" spans="1:14" ht="12.75">
      <c r="A10" s="3"/>
      <c r="B10" s="10" t="s">
        <v>211</v>
      </c>
      <c r="C10" s="26">
        <f>C9*C3</f>
        <v>504</v>
      </c>
      <c r="D10" s="73" t="s">
        <v>212</v>
      </c>
      <c r="E10" s="35"/>
      <c r="F10" s="3"/>
      <c r="G10" s="3"/>
      <c r="H10" s="3"/>
      <c r="I10" s="3"/>
      <c r="J10" s="177" t="s">
        <v>183</v>
      </c>
      <c r="K10" s="197">
        <f>C55-M45</f>
        <v>142.19799</v>
      </c>
      <c r="L10" s="3"/>
      <c r="M10" s="3"/>
      <c r="N10" s="3"/>
    </row>
    <row r="11" spans="1:14" ht="12.75">
      <c r="A11" s="3"/>
      <c r="B11" s="10" t="s">
        <v>213</v>
      </c>
      <c r="C11" s="26">
        <f>C10*5</f>
        <v>2520</v>
      </c>
      <c r="D11" s="73" t="s">
        <v>214</v>
      </c>
      <c r="E11" s="35"/>
      <c r="F11" s="3"/>
      <c r="G11" s="3"/>
      <c r="H11" s="3"/>
      <c r="I11" s="3"/>
      <c r="J11" s="177" t="s">
        <v>186</v>
      </c>
      <c r="K11" s="94">
        <f>C15-M4</f>
        <v>0</v>
      </c>
      <c r="L11" s="3"/>
      <c r="M11" s="3"/>
      <c r="N11" s="3"/>
    </row>
    <row r="12" spans="1:14" ht="26.25" customHeight="1">
      <c r="A12" s="3"/>
      <c r="B12" s="99" t="s">
        <v>215</v>
      </c>
      <c r="C12" s="26">
        <f>C10*C5</f>
        <v>720720</v>
      </c>
      <c r="D12" s="73" t="s">
        <v>212</v>
      </c>
      <c r="E12" s="183"/>
      <c r="F12" s="3"/>
      <c r="G12" s="3"/>
      <c r="H12" s="3"/>
      <c r="I12" s="3"/>
      <c r="J12" s="179" t="s">
        <v>188</v>
      </c>
      <c r="K12" s="94">
        <f>C38-M24</f>
        <v>0</v>
      </c>
      <c r="L12" s="3"/>
      <c r="M12" s="3"/>
      <c r="N12" s="3"/>
    </row>
    <row r="13" spans="1:14" ht="25.5" customHeight="1">
      <c r="A13" s="3"/>
      <c r="B13" s="99" t="s">
        <v>216</v>
      </c>
      <c r="C13" s="26">
        <f>C12*5</f>
        <v>3603600</v>
      </c>
      <c r="D13" s="73" t="s">
        <v>217</v>
      </c>
      <c r="E13" s="183"/>
      <c r="F13" s="3"/>
      <c r="G13" s="3"/>
      <c r="H13" s="3"/>
      <c r="I13" s="3"/>
      <c r="J13" s="3"/>
      <c r="K13" s="3"/>
      <c r="L13" s="3"/>
      <c r="M13" s="3"/>
      <c r="N13" s="3"/>
    </row>
    <row r="14" spans="1:14" ht="25.5" customHeight="1">
      <c r="A14" s="3"/>
      <c r="B14" s="99" t="s">
        <v>218</v>
      </c>
      <c r="C14" s="26">
        <f>C12/1000000</f>
        <v>0.72072000000000003</v>
      </c>
      <c r="D14" s="73" t="s">
        <v>137</v>
      </c>
      <c r="E14" s="183"/>
      <c r="F14" s="3"/>
      <c r="G14" s="3"/>
      <c r="H14" s="3"/>
      <c r="I14" s="3"/>
      <c r="J14" s="3"/>
      <c r="K14" s="3"/>
      <c r="L14" s="3"/>
      <c r="M14" s="3"/>
      <c r="N14" s="3"/>
    </row>
    <row r="15" spans="1:14" ht="26.25" customHeight="1">
      <c r="A15" s="3"/>
      <c r="B15" s="99" t="s">
        <v>219</v>
      </c>
      <c r="C15" s="26">
        <f>C13/1000000</f>
        <v>3.6036000000000001</v>
      </c>
      <c r="D15" s="73" t="s">
        <v>193</v>
      </c>
      <c r="E15" s="35"/>
      <c r="F15" s="3"/>
      <c r="G15" s="3"/>
      <c r="H15" s="3"/>
      <c r="I15" s="3"/>
      <c r="J15" s="3"/>
      <c r="K15" s="3"/>
      <c r="L15" s="3"/>
      <c r="M15" s="3"/>
      <c r="N15" s="3"/>
    </row>
    <row r="16" spans="1:14" ht="27" customHeight="1">
      <c r="A16" s="3"/>
      <c r="B16" s="99" t="s">
        <v>148</v>
      </c>
      <c r="C16" s="152">
        <v>1</v>
      </c>
      <c r="D16" s="96"/>
      <c r="E16" s="35"/>
      <c r="F16" s="3"/>
      <c r="G16" s="3"/>
      <c r="J16" s="3"/>
      <c r="K16" s="3"/>
      <c r="L16" s="3"/>
      <c r="M16" s="3"/>
      <c r="N16" s="3"/>
    </row>
    <row r="17" spans="1:15" ht="24.75" customHeight="1">
      <c r="A17" s="3"/>
      <c r="B17" s="99" t="s">
        <v>220</v>
      </c>
      <c r="C17" s="26">
        <f>C16*C14</f>
        <v>0.72072000000000003</v>
      </c>
      <c r="D17" s="73" t="s">
        <v>137</v>
      </c>
      <c r="E17" s="35"/>
      <c r="F17" s="3"/>
      <c r="G17" s="3"/>
      <c r="J17" s="3"/>
      <c r="K17" s="3"/>
      <c r="L17" s="3"/>
      <c r="M17" s="3"/>
      <c r="N17" s="3"/>
    </row>
    <row r="18" spans="1:1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>
      <c r="A21" s="3"/>
      <c r="B21" s="265" t="s">
        <v>163</v>
      </c>
      <c r="C21" s="224"/>
      <c r="D21" s="224"/>
      <c r="E21" s="225"/>
      <c r="F21" s="3"/>
      <c r="G21" s="248" t="s">
        <v>154</v>
      </c>
      <c r="H21" s="224"/>
      <c r="I21" s="224"/>
      <c r="J21" s="224"/>
      <c r="K21" s="224"/>
      <c r="L21" s="224"/>
      <c r="M21" s="225"/>
      <c r="N21" s="3"/>
    </row>
    <row r="22" spans="1:15" ht="12.75">
      <c r="A22" s="3"/>
      <c r="B22" s="165" t="s">
        <v>164</v>
      </c>
      <c r="C22" s="165" t="s">
        <v>165</v>
      </c>
      <c r="D22" s="166" t="s">
        <v>10</v>
      </c>
      <c r="E22" s="165" t="s">
        <v>166</v>
      </c>
      <c r="F22" s="3"/>
      <c r="G22" s="65"/>
      <c r="H22" s="3"/>
      <c r="I22" s="3"/>
      <c r="J22" s="3"/>
      <c r="K22" s="3"/>
      <c r="L22" s="3"/>
      <c r="M22" s="53"/>
      <c r="N22" s="3"/>
    </row>
    <row r="23" spans="1:15" ht="12.75">
      <c r="A23" s="3"/>
      <c r="B23" s="149" t="s">
        <v>167</v>
      </c>
      <c r="C23" s="97">
        <v>40</v>
      </c>
      <c r="D23" s="97" t="s">
        <v>168</v>
      </c>
      <c r="E23" s="142"/>
      <c r="F23" s="3"/>
      <c r="G23" s="167"/>
      <c r="H23" s="168" t="s">
        <v>68</v>
      </c>
      <c r="I23" s="168" t="s">
        <v>69</v>
      </c>
      <c r="J23" s="168" t="s">
        <v>70</v>
      </c>
      <c r="K23" s="168" t="s">
        <v>71</v>
      </c>
      <c r="L23" s="168" t="s">
        <v>72</v>
      </c>
      <c r="M23" s="22" t="s">
        <v>37</v>
      </c>
      <c r="N23" s="3"/>
    </row>
    <row r="24" spans="1:15" ht="25.5">
      <c r="A24" s="3"/>
      <c r="B24" s="82" t="s">
        <v>169</v>
      </c>
      <c r="C24" s="169" t="s">
        <v>170</v>
      </c>
      <c r="D24" s="170" t="s">
        <v>171</v>
      </c>
      <c r="E24" s="142" t="s">
        <v>172</v>
      </c>
      <c r="F24" s="3"/>
      <c r="G24" s="190" t="s">
        <v>257</v>
      </c>
      <c r="H24" s="26">
        <f>C36</f>
        <v>104.69586569302328</v>
      </c>
      <c r="I24" s="26">
        <f>C36</f>
        <v>104.69586569302328</v>
      </c>
      <c r="J24" s="26">
        <f>C36</f>
        <v>104.69586569302328</v>
      </c>
      <c r="K24" s="26">
        <f>C36</f>
        <v>104.69586569302328</v>
      </c>
      <c r="L24" s="26">
        <f>C36</f>
        <v>104.69586569302328</v>
      </c>
      <c r="M24" s="171">
        <f>SUM(H24:L24)</f>
        <v>523.4793284651164</v>
      </c>
      <c r="N24" s="3"/>
    </row>
    <row r="25" spans="1:15" ht="12.75">
      <c r="A25" s="3"/>
      <c r="B25" s="82" t="s">
        <v>237</v>
      </c>
      <c r="C25" s="97">
        <v>43</v>
      </c>
      <c r="D25" s="97" t="s">
        <v>168</v>
      </c>
      <c r="E25" s="142" t="s">
        <v>172</v>
      </c>
      <c r="F25" s="3"/>
      <c r="G25" s="3"/>
      <c r="H25" s="3"/>
      <c r="I25" s="3"/>
      <c r="J25" s="3"/>
      <c r="K25" s="3"/>
      <c r="L25" s="3"/>
      <c r="M25" s="3"/>
      <c r="N25" s="3"/>
    </row>
    <row r="26" spans="1:15" ht="12.75">
      <c r="A26" s="3"/>
      <c r="B26" s="82" t="s">
        <v>173</v>
      </c>
      <c r="C26" s="97">
        <v>21.25</v>
      </c>
      <c r="D26" s="97" t="s">
        <v>174</v>
      </c>
      <c r="E26" s="142" t="s">
        <v>172</v>
      </c>
      <c r="F26" s="3"/>
      <c r="G26" s="3"/>
      <c r="H26" s="3"/>
      <c r="I26" s="3"/>
      <c r="J26" s="3"/>
      <c r="K26" s="3"/>
      <c r="L26" s="3"/>
      <c r="M26" s="3"/>
      <c r="N26" s="3"/>
    </row>
    <row r="27" spans="1:15" ht="12.75">
      <c r="A27" s="3"/>
      <c r="B27" s="82" t="s">
        <v>175</v>
      </c>
      <c r="C27" s="169">
        <v>24</v>
      </c>
      <c r="D27" s="97" t="s">
        <v>67</v>
      </c>
      <c r="E27" s="172"/>
      <c r="F27" s="3"/>
      <c r="G27" s="3"/>
      <c r="H27" s="3"/>
      <c r="I27" s="3"/>
      <c r="J27" s="3"/>
      <c r="K27" s="3"/>
      <c r="L27" s="3"/>
      <c r="M27" s="3"/>
      <c r="N27" s="3"/>
    </row>
    <row r="28" spans="1:15" ht="12.75">
      <c r="A28" s="3"/>
      <c r="B28" s="82" t="s">
        <v>176</v>
      </c>
      <c r="C28" s="173">
        <v>7</v>
      </c>
      <c r="D28" s="97" t="s">
        <v>74</v>
      </c>
      <c r="E28" s="172"/>
      <c r="F28" s="3"/>
      <c r="G28" s="3"/>
      <c r="H28" s="3"/>
      <c r="I28" s="3"/>
      <c r="J28" s="3"/>
      <c r="K28" s="3"/>
      <c r="L28" s="3"/>
      <c r="M28" s="3"/>
      <c r="N28" s="3"/>
    </row>
    <row r="29" spans="1:15" ht="12.75">
      <c r="A29" s="3"/>
      <c r="B29" s="82" t="s">
        <v>238</v>
      </c>
      <c r="C29" s="144">
        <f>C23/C25*C26</f>
        <v>19.767441860465116</v>
      </c>
      <c r="D29" s="97" t="s">
        <v>174</v>
      </c>
      <c r="E29" s="172"/>
      <c r="F29" s="3"/>
      <c r="G29" s="3"/>
      <c r="H29" s="3"/>
      <c r="I29" s="3"/>
      <c r="J29" s="3"/>
      <c r="K29" s="3"/>
      <c r="L29" s="3"/>
      <c r="M29" s="3"/>
      <c r="N29" s="3"/>
    </row>
    <row r="30" spans="1:15" ht="12.75">
      <c r="A30" s="3"/>
      <c r="B30" s="149" t="s">
        <v>177</v>
      </c>
      <c r="C30" s="144">
        <f>C29*C27</f>
        <v>474.41860465116281</v>
      </c>
      <c r="D30" s="97" t="s">
        <v>178</v>
      </c>
      <c r="E30" s="172"/>
      <c r="F30" s="3"/>
      <c r="G30" s="3"/>
      <c r="H30" s="3"/>
      <c r="I30" s="3"/>
      <c r="J30" s="3"/>
      <c r="K30" s="3"/>
      <c r="L30" s="3"/>
      <c r="M30" s="3"/>
      <c r="N30" s="3"/>
    </row>
    <row r="31" spans="1:15" ht="12.75">
      <c r="A31" s="3"/>
      <c r="B31" s="149" t="s">
        <v>179</v>
      </c>
      <c r="C31" s="26">
        <f>C30*C28*52</f>
        <v>172688.37209302327</v>
      </c>
      <c r="D31" s="97" t="s">
        <v>180</v>
      </c>
      <c r="E31" s="172"/>
      <c r="F31" s="3"/>
      <c r="G31" s="3"/>
      <c r="H31" s="3"/>
      <c r="I31" s="3"/>
      <c r="J31" s="3"/>
      <c r="K31" s="3"/>
      <c r="L31" s="3"/>
      <c r="M31" s="3"/>
      <c r="N31" s="3"/>
    </row>
    <row r="32" spans="1:15" ht="12.75">
      <c r="A32" s="3"/>
      <c r="B32" s="82" t="s">
        <v>132</v>
      </c>
      <c r="C32" s="169">
        <v>0.55000000000000004</v>
      </c>
      <c r="D32" s="97" t="s">
        <v>133</v>
      </c>
      <c r="E32" s="142" t="s">
        <v>134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12.75">
      <c r="A33" s="3"/>
      <c r="B33" s="99" t="s">
        <v>92</v>
      </c>
      <c r="C33" s="100">
        <v>1.10231E-3</v>
      </c>
      <c r="D33" s="101" t="s">
        <v>135</v>
      </c>
      <c r="E33" s="35"/>
      <c r="F33" s="3"/>
      <c r="G33" s="3"/>
      <c r="H33" s="3"/>
      <c r="I33" s="3"/>
      <c r="J33" s="3"/>
      <c r="K33" s="3"/>
      <c r="L33" s="3"/>
      <c r="M33" s="3"/>
      <c r="N33" s="3"/>
    </row>
    <row r="34" spans="1:14" ht="12.75">
      <c r="A34" s="3"/>
      <c r="B34" s="99" t="s">
        <v>184</v>
      </c>
      <c r="C34" s="26">
        <f>(C31*C32)*C33</f>
        <v>104.69586569302328</v>
      </c>
      <c r="D34" s="101" t="s">
        <v>185</v>
      </c>
      <c r="E34" s="35"/>
      <c r="F34" s="3"/>
      <c r="G34" s="3"/>
      <c r="H34" s="3"/>
      <c r="I34" s="3"/>
      <c r="J34" s="3"/>
      <c r="K34" s="3"/>
      <c r="L34" s="3"/>
      <c r="M34" s="3"/>
      <c r="N34" s="3"/>
    </row>
    <row r="35" spans="1:14" ht="24" customHeight="1">
      <c r="A35" s="3"/>
      <c r="B35" s="99" t="s">
        <v>187</v>
      </c>
      <c r="C35" s="152">
        <v>1</v>
      </c>
      <c r="D35" s="152"/>
      <c r="E35" s="35"/>
      <c r="F35" s="3"/>
      <c r="G35" s="3"/>
      <c r="H35" s="3"/>
      <c r="I35" s="3"/>
      <c r="J35" s="3"/>
      <c r="K35" s="3"/>
      <c r="L35" s="3"/>
      <c r="M35" s="3"/>
      <c r="N35" s="3"/>
    </row>
    <row r="36" spans="1:14" ht="25.5" customHeight="1">
      <c r="A36" s="3"/>
      <c r="B36" s="99" t="s">
        <v>189</v>
      </c>
      <c r="C36" s="26">
        <f>C35*C34</f>
        <v>104.69586569302328</v>
      </c>
      <c r="D36" s="180" t="s">
        <v>137</v>
      </c>
      <c r="E36" s="35"/>
      <c r="F36" s="3"/>
      <c r="G36" s="3"/>
      <c r="H36" s="3"/>
      <c r="I36" s="3"/>
      <c r="J36" s="3"/>
      <c r="K36" s="3"/>
      <c r="L36" s="3"/>
      <c r="M36" s="3"/>
      <c r="N36" s="3"/>
    </row>
    <row r="37" spans="1:14" ht="19.5" customHeight="1">
      <c r="A37" s="3"/>
      <c r="B37" s="149" t="s">
        <v>190</v>
      </c>
      <c r="C37" s="26">
        <f>C31*5</f>
        <v>863441.86046511633</v>
      </c>
      <c r="D37" s="97" t="s">
        <v>191</v>
      </c>
      <c r="E37" s="35"/>
      <c r="F37" s="3"/>
      <c r="G37" s="3"/>
      <c r="H37" s="52"/>
      <c r="I37" s="198"/>
      <c r="J37" s="3"/>
      <c r="K37" s="3"/>
      <c r="L37" s="3"/>
      <c r="M37" s="3"/>
      <c r="N37" s="3"/>
    </row>
    <row r="38" spans="1:14" ht="25.5">
      <c r="A38" s="3"/>
      <c r="B38" s="106" t="s">
        <v>192</v>
      </c>
      <c r="C38" s="184">
        <f>C34*5</f>
        <v>523.4793284651164</v>
      </c>
      <c r="D38" s="185" t="s">
        <v>193</v>
      </c>
      <c r="E38" s="186"/>
      <c r="F38" s="3"/>
      <c r="G38" s="3"/>
      <c r="H38" s="49"/>
      <c r="I38" s="3"/>
      <c r="J38" s="3"/>
      <c r="K38" s="3"/>
      <c r="L38" s="3"/>
      <c r="M38" s="3"/>
      <c r="N38" s="3"/>
    </row>
    <row r="39" spans="1:14" ht="12.75">
      <c r="A39" s="3"/>
      <c r="B39" s="157"/>
      <c r="C39" s="187"/>
      <c r="D39" s="188"/>
      <c r="E39" s="110"/>
      <c r="F39" s="3"/>
      <c r="G39" s="3"/>
      <c r="J39" s="3"/>
      <c r="K39" s="3"/>
      <c r="L39" s="3"/>
      <c r="M39" s="3"/>
      <c r="N39" s="3"/>
    </row>
    <row r="40" spans="1:14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>
      <c r="A42" s="3"/>
      <c r="B42" s="265" t="s">
        <v>221</v>
      </c>
      <c r="C42" s="224"/>
      <c r="D42" s="224"/>
      <c r="E42" s="225"/>
      <c r="F42" s="3"/>
      <c r="G42" s="248" t="s">
        <v>222</v>
      </c>
      <c r="H42" s="224"/>
      <c r="I42" s="224"/>
      <c r="J42" s="224"/>
      <c r="K42" s="224"/>
      <c r="L42" s="224"/>
      <c r="M42" s="225"/>
      <c r="N42" s="3"/>
    </row>
    <row r="43" spans="1:14" ht="12.75">
      <c r="A43" s="3"/>
      <c r="B43" s="165" t="s">
        <v>164</v>
      </c>
      <c r="C43" s="165" t="s">
        <v>165</v>
      </c>
      <c r="D43" s="166" t="s">
        <v>10</v>
      </c>
      <c r="E43" s="165" t="s">
        <v>166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12.75">
      <c r="A44" s="3"/>
      <c r="B44" s="99" t="s">
        <v>223</v>
      </c>
      <c r="C44" s="33">
        <v>5</v>
      </c>
      <c r="D44" s="73" t="s">
        <v>224</v>
      </c>
      <c r="E44" s="35"/>
      <c r="F44" s="3"/>
      <c r="G44" s="167"/>
      <c r="H44" s="168" t="s">
        <v>68</v>
      </c>
      <c r="I44" s="168" t="s">
        <v>69</v>
      </c>
      <c r="J44" s="168" t="s">
        <v>70</v>
      </c>
      <c r="K44" s="168" t="s">
        <v>71</v>
      </c>
      <c r="L44" s="168" t="s">
        <v>72</v>
      </c>
      <c r="M44" s="22" t="s">
        <v>37</v>
      </c>
      <c r="N44" s="3"/>
    </row>
    <row r="45" spans="1:14" ht="25.5">
      <c r="A45" s="3"/>
      <c r="B45" s="99" t="s">
        <v>225</v>
      </c>
      <c r="C45" s="10">
        <v>40</v>
      </c>
      <c r="D45" s="73" t="s">
        <v>114</v>
      </c>
      <c r="E45" s="35"/>
      <c r="F45" s="3"/>
      <c r="G45" s="190" t="s">
        <v>257</v>
      </c>
      <c r="H45" s="153">
        <f>C54</f>
        <v>66.359061999999994</v>
      </c>
      <c r="I45" s="153">
        <f>C54</f>
        <v>66.359061999999994</v>
      </c>
      <c r="J45" s="153">
        <f>C54</f>
        <v>66.359061999999994</v>
      </c>
      <c r="K45" s="153">
        <f>C54</f>
        <v>66.359061999999994</v>
      </c>
      <c r="L45" s="153">
        <f>C54</f>
        <v>66.359061999999994</v>
      </c>
      <c r="M45" s="191">
        <f>SUM(H45:L45)</f>
        <v>331.79530999999997</v>
      </c>
      <c r="N45" s="3"/>
    </row>
    <row r="46" spans="1:14" ht="12.75">
      <c r="A46" s="3"/>
      <c r="B46" s="99" t="s">
        <v>226</v>
      </c>
      <c r="C46" s="10">
        <f>C45*C44</f>
        <v>200</v>
      </c>
      <c r="D46" s="73" t="s">
        <v>185</v>
      </c>
      <c r="E46" s="190"/>
      <c r="F46" s="3"/>
      <c r="G46" s="3"/>
      <c r="H46" s="3"/>
      <c r="I46" s="3"/>
      <c r="J46" s="3"/>
      <c r="K46" s="3"/>
      <c r="L46" s="3"/>
      <c r="M46" s="3"/>
      <c r="N46" s="3"/>
    </row>
    <row r="47" spans="1:14" ht="12.75">
      <c r="A47" s="3"/>
      <c r="B47" s="99" t="s">
        <v>227</v>
      </c>
      <c r="C47" s="152">
        <v>0.5</v>
      </c>
      <c r="D47" s="181"/>
      <c r="E47" s="190"/>
      <c r="F47" s="3"/>
      <c r="G47" s="3"/>
      <c r="H47" s="3"/>
      <c r="I47" s="3"/>
      <c r="J47" s="3"/>
      <c r="K47" s="3"/>
      <c r="L47" s="3"/>
      <c r="M47" s="3"/>
      <c r="N47" s="3"/>
    </row>
    <row r="48" spans="1:14" ht="25.5">
      <c r="A48" s="3"/>
      <c r="B48" s="99" t="s">
        <v>160</v>
      </c>
      <c r="C48" s="152">
        <v>0.35</v>
      </c>
      <c r="D48" s="181"/>
      <c r="E48" s="190"/>
      <c r="F48" s="3"/>
      <c r="G48" s="3"/>
      <c r="H48" s="3"/>
      <c r="I48" s="3"/>
      <c r="J48" s="3"/>
      <c r="K48" s="3"/>
      <c r="L48" s="3"/>
      <c r="M48" s="3"/>
      <c r="N48" s="3"/>
    </row>
    <row r="49" spans="1:14" ht="25.5">
      <c r="A49" s="3"/>
      <c r="B49" s="10" t="s">
        <v>229</v>
      </c>
      <c r="C49" s="35">
        <f>C47*C46</f>
        <v>100</v>
      </c>
      <c r="D49" s="73" t="s">
        <v>185</v>
      </c>
      <c r="E49" s="192" t="s">
        <v>228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25.5">
      <c r="A50" s="3"/>
      <c r="B50" s="99" t="s">
        <v>230</v>
      </c>
      <c r="C50" s="10">
        <v>0.86</v>
      </c>
      <c r="D50" s="73" t="s">
        <v>114</v>
      </c>
      <c r="E50" s="35"/>
      <c r="F50" s="3"/>
      <c r="G50" s="3"/>
      <c r="H50" s="3"/>
      <c r="I50" s="3"/>
      <c r="J50" s="3"/>
      <c r="K50" s="3"/>
      <c r="L50" s="3"/>
      <c r="M50" s="3"/>
      <c r="N50" s="3"/>
    </row>
    <row r="51" spans="1:14" ht="12.75">
      <c r="A51" s="3"/>
      <c r="B51" s="10" t="s">
        <v>232</v>
      </c>
      <c r="C51" s="10">
        <v>1.1023099999999999</v>
      </c>
      <c r="D51" s="73"/>
      <c r="E51" s="35"/>
      <c r="F51" s="3"/>
      <c r="I51" s="3"/>
      <c r="J51" s="3"/>
      <c r="K51" s="3"/>
      <c r="L51" s="3"/>
      <c r="M51" s="3"/>
      <c r="N51" s="3"/>
    </row>
    <row r="52" spans="1:14" ht="12.75">
      <c r="A52" s="3"/>
      <c r="B52" s="10" t="s">
        <v>229</v>
      </c>
      <c r="C52" s="153">
        <f>C49*C51</f>
        <v>110.23099999999999</v>
      </c>
      <c r="D52" s="101" t="s">
        <v>233</v>
      </c>
      <c r="E52" s="141" t="s">
        <v>231</v>
      </c>
      <c r="F52" s="3"/>
      <c r="I52" s="3"/>
      <c r="J52" s="3"/>
      <c r="K52" s="3"/>
      <c r="L52" s="3"/>
      <c r="M52" s="3"/>
      <c r="N52" s="3"/>
    </row>
    <row r="53" spans="1:14" ht="25.5">
      <c r="A53" s="3"/>
      <c r="B53" s="99" t="s">
        <v>234</v>
      </c>
      <c r="C53" s="153">
        <f>C50*C52</f>
        <v>94.798659999999998</v>
      </c>
      <c r="D53" s="73" t="s">
        <v>185</v>
      </c>
      <c r="E53" s="35"/>
      <c r="F53" s="3"/>
      <c r="G53" s="3"/>
      <c r="H53" s="52"/>
      <c r="I53" s="3"/>
      <c r="J53" s="3"/>
      <c r="K53" s="3"/>
      <c r="L53" s="3"/>
      <c r="M53" s="3"/>
      <c r="N53" s="3"/>
    </row>
    <row r="54" spans="1:14" ht="25.5">
      <c r="A54" s="3"/>
      <c r="B54" s="99" t="s">
        <v>235</v>
      </c>
      <c r="C54" s="153">
        <f>C48*C46*C51*C50</f>
        <v>66.359061999999994</v>
      </c>
      <c r="D54" s="73" t="s">
        <v>185</v>
      </c>
      <c r="E54" s="35"/>
      <c r="F54" s="3"/>
      <c r="H54" s="52"/>
      <c r="I54" s="3"/>
      <c r="N54" s="3"/>
    </row>
    <row r="55" spans="1:14" ht="25.5">
      <c r="A55" s="3"/>
      <c r="B55" s="99" t="s">
        <v>236</v>
      </c>
      <c r="C55" s="153">
        <f>C53*5</f>
        <v>473.99329999999998</v>
      </c>
      <c r="D55" s="73" t="s">
        <v>185</v>
      </c>
      <c r="E55" s="35"/>
      <c r="F55" s="3"/>
      <c r="N55" s="3"/>
    </row>
    <row r="56" spans="1:14" ht="12.75">
      <c r="A56" s="3"/>
      <c r="B56" s="3"/>
      <c r="C56" s="3"/>
      <c r="D56" s="3"/>
      <c r="E56" s="3"/>
      <c r="F56" s="3"/>
      <c r="G56" s="3"/>
      <c r="H56" s="168" t="s">
        <v>68</v>
      </c>
      <c r="I56" s="168" t="s">
        <v>69</v>
      </c>
      <c r="J56" s="168" t="s">
        <v>70</v>
      </c>
      <c r="K56" s="168" t="s">
        <v>71</v>
      </c>
      <c r="L56" s="168" t="s">
        <v>72</v>
      </c>
      <c r="M56" s="3"/>
      <c r="N56" s="3"/>
    </row>
    <row r="57" spans="1:14" ht="15">
      <c r="A57" s="3"/>
      <c r="B57" s="3"/>
      <c r="C57" s="3"/>
      <c r="D57" s="3"/>
      <c r="E57" s="3"/>
      <c r="F57" s="3"/>
      <c r="G57" s="193" t="s">
        <v>106</v>
      </c>
      <c r="H57" s="194">
        <f t="shared" ref="H57:M57" si="0">H4+H24+H45</f>
        <v>171.77564769302327</v>
      </c>
      <c r="I57" s="194">
        <f t="shared" si="0"/>
        <v>171.77564769302327</v>
      </c>
      <c r="J57" s="194">
        <f t="shared" si="0"/>
        <v>171.77564769302327</v>
      </c>
      <c r="K57" s="194">
        <f t="shared" si="0"/>
        <v>171.77564769302327</v>
      </c>
      <c r="L57" s="194">
        <f t="shared" si="0"/>
        <v>171.77564769302327</v>
      </c>
      <c r="M57" s="194">
        <f t="shared" si="0"/>
        <v>858.8782384651164</v>
      </c>
      <c r="N57" s="3"/>
    </row>
    <row r="58" spans="1:1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>
      <c r="A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>
      <c r="A61" s="3"/>
      <c r="F61" s="3"/>
      <c r="G61" s="3"/>
      <c r="H61" s="3"/>
      <c r="I61" s="3"/>
      <c r="J61" s="3"/>
      <c r="K61" s="3"/>
      <c r="L61" s="3"/>
      <c r="M61" s="3"/>
      <c r="N61" s="3"/>
    </row>
  </sheetData>
  <mergeCells count="6">
    <mergeCell ref="B1:E1"/>
    <mergeCell ref="G1:M1"/>
    <mergeCell ref="B21:E21"/>
    <mergeCell ref="G21:M21"/>
    <mergeCell ref="B42:E42"/>
    <mergeCell ref="G42:M42"/>
  </mergeCells>
  <hyperlinks>
    <hyperlink ref="E4" r:id="rId1" xr:uid="{00000000-0004-0000-0E00-000000000000}"/>
    <hyperlink ref="E5" r:id="rId2" xr:uid="{00000000-0004-0000-0E00-000001000000}"/>
    <hyperlink ref="E6" r:id="rId3" xr:uid="{00000000-0004-0000-0E00-000002000000}"/>
    <hyperlink ref="E7" r:id="rId4" xr:uid="{00000000-0004-0000-0E00-000003000000}"/>
    <hyperlink ref="E24" r:id="rId5" location=":~:text=Normally%2C%20a%2010%2Dsquare%2D,storage%20runs%20normally%20one%20day." xr:uid="{00000000-0004-0000-0E00-000004000000}"/>
    <hyperlink ref="E25" r:id="rId6" location=":~:text=Normally%2C%20a%2010%2Dsquare%2D,storage%20runs%20normally%20one%20day." xr:uid="{00000000-0004-0000-0E00-000005000000}"/>
    <hyperlink ref="E26" r:id="rId7" location=":~:text=Normally%2C%20a%2010%2Dsquare%2D,storage%20runs%20normally%20one%20day." xr:uid="{00000000-0004-0000-0E00-000006000000}"/>
    <hyperlink ref="E32" r:id="rId8" xr:uid="{00000000-0004-0000-0E00-000007000000}"/>
    <hyperlink ref="E49" r:id="rId9" location=":~:text=The%20problem%20of%20post%2Dharvest,packaging%20stages%20year%20%5B8%5D." xr:uid="{00000000-0004-0000-0E00-000008000000}"/>
    <hyperlink ref="E52" r:id="rId10" location=":~:text=For%20each%20metric%20ton%20of,effectively%20a%201%3A1%20equivalent" xr:uid="{00000000-0004-0000-0E00-000009000000}"/>
  </hyperlinks>
  <pageMargins left="0.7" right="0.7" top="0.75" bottom="0.75" header="0.3" footer="0.3"/>
  <ignoredErrors>
    <ignoredError sqref="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1"/>
  <sheetViews>
    <sheetView showGridLines="0" topLeftCell="A2" workbookViewId="0">
      <selection activeCell="M10" sqref="M10"/>
    </sheetView>
  </sheetViews>
  <sheetFormatPr defaultColWidth="12.5703125" defaultRowHeight="15.75" customHeight="1"/>
  <cols>
    <col min="1" max="1" width="26.42578125" customWidth="1"/>
    <col min="3" max="3" width="4.140625" customWidth="1"/>
    <col min="4" max="4" width="12.5703125" customWidth="1"/>
    <col min="5" max="5" width="4.28515625" customWidth="1"/>
    <col min="6" max="6" width="12" customWidth="1"/>
    <col min="7" max="7" width="4.42578125" customWidth="1"/>
    <col min="8" max="8" width="13.85546875" bestFit="1" customWidth="1"/>
    <col min="9" max="10" width="5.140625" customWidth="1"/>
    <col min="11" max="11" width="22.28515625" customWidth="1"/>
    <col min="12" max="12" width="9.28515625" customWidth="1"/>
    <col min="13" max="13" width="23.85546875" customWidth="1"/>
    <col min="14" max="14" width="10.7109375" customWidth="1"/>
    <col min="15" max="15" width="0.42578125" customWidth="1"/>
  </cols>
  <sheetData>
    <row r="1" spans="1:15" ht="15">
      <c r="G1" s="1" t="s">
        <v>258</v>
      </c>
      <c r="K1" s="2" t="s">
        <v>0</v>
      </c>
    </row>
    <row r="2" spans="1:15" ht="131.25" customHeight="1">
      <c r="A2" s="3"/>
      <c r="B2" s="4" t="s">
        <v>1</v>
      </c>
      <c r="C2" s="3"/>
      <c r="D2" s="4" t="s">
        <v>2</v>
      </c>
      <c r="E2" s="3"/>
      <c r="F2" s="4" t="s">
        <v>3</v>
      </c>
      <c r="G2" s="5"/>
      <c r="H2" s="3"/>
      <c r="I2" s="3"/>
      <c r="J2" s="3"/>
      <c r="K2" s="223" t="s">
        <v>260</v>
      </c>
      <c r="L2" s="224"/>
      <c r="M2" s="224"/>
      <c r="N2" s="224"/>
      <c r="O2" s="225"/>
    </row>
    <row r="3" spans="1:15" ht="12.75">
      <c r="A3" s="3"/>
      <c r="B3" s="3"/>
      <c r="C3" s="3"/>
      <c r="D3" s="3"/>
      <c r="E3" s="3"/>
      <c r="F3" s="3"/>
      <c r="G3" s="3"/>
      <c r="H3" s="3"/>
      <c r="I3" s="3"/>
      <c r="J3" s="3"/>
      <c r="K3" s="6"/>
      <c r="L3" s="6"/>
      <c r="M3" s="6"/>
      <c r="N3" s="6"/>
      <c r="O3" s="6"/>
    </row>
    <row r="4" spans="1:15" ht="12.75">
      <c r="A4" s="3"/>
      <c r="B4" s="3"/>
      <c r="C4" s="3"/>
      <c r="D4" s="3"/>
      <c r="E4" s="3"/>
      <c r="F4" s="3"/>
      <c r="G4" s="3"/>
      <c r="H4" s="3"/>
      <c r="I4" s="3"/>
      <c r="J4" s="3"/>
      <c r="K4" s="2" t="s">
        <v>7</v>
      </c>
      <c r="L4" s="6"/>
      <c r="M4" s="6"/>
      <c r="N4" s="6"/>
      <c r="O4" s="6"/>
    </row>
    <row r="5" spans="1:15" ht="14.25">
      <c r="A5" s="3"/>
      <c r="B5" s="3"/>
      <c r="C5" s="3"/>
      <c r="D5" s="3"/>
      <c r="E5" s="3"/>
      <c r="F5" s="3"/>
      <c r="G5" s="3"/>
      <c r="H5" s="7"/>
      <c r="I5" s="3"/>
      <c r="J5" s="3"/>
      <c r="K5" s="8" t="s">
        <v>8</v>
      </c>
      <c r="L5" s="8" t="s">
        <v>9</v>
      </c>
      <c r="M5" s="8" t="s">
        <v>10</v>
      </c>
    </row>
    <row r="6" spans="1:15" ht="18">
      <c r="A6" s="3"/>
      <c r="B6" s="3"/>
      <c r="C6" s="3"/>
      <c r="D6" s="3"/>
      <c r="E6" s="3"/>
      <c r="F6" s="3"/>
      <c r="G6" s="3"/>
      <c r="H6" s="9"/>
      <c r="I6" s="3"/>
      <c r="J6" s="3"/>
      <c r="K6" s="10" t="s">
        <v>11</v>
      </c>
      <c r="L6" s="11">
        <f>Calculation!E2</f>
        <v>335.13587117817735</v>
      </c>
      <c r="M6" s="10" t="s">
        <v>12</v>
      </c>
      <c r="N6" s="6"/>
    </row>
    <row r="7" spans="1:15" ht="12.75">
      <c r="A7" s="3"/>
      <c r="B7" s="21">
        <f>'9. Project 1-Assumption'!C21+'11. Project 3-Assumption'!C3</f>
        <v>5.5</v>
      </c>
      <c r="C7" s="12"/>
      <c r="D7" s="21">
        <f>COUNT('9. Project 1-Assumption'!C3,'10. Project 2-Assumption'!C3,'11. Project 3-Assumption'!C23)</f>
        <v>3</v>
      </c>
      <c r="E7" s="12"/>
      <c r="F7" s="21">
        <f>'6. Horticulture Project 1'!C34+'7. Horticulture Project 2'!C21+'8. Horticulture Project 3'!C35</f>
        <v>1000</v>
      </c>
      <c r="G7" s="12"/>
      <c r="H7" s="13"/>
      <c r="I7" s="3"/>
      <c r="J7" s="3"/>
      <c r="K7" s="10" t="s">
        <v>13</v>
      </c>
      <c r="L7" s="11">
        <f>Calculation!E3</f>
        <v>101.55632459944768</v>
      </c>
      <c r="M7" s="10" t="s">
        <v>14</v>
      </c>
      <c r="N7" s="6"/>
    </row>
    <row r="8" spans="1:15" ht="25.5">
      <c r="A8" s="3"/>
      <c r="B8" s="14" t="s">
        <v>11</v>
      </c>
      <c r="C8" s="3"/>
      <c r="D8" s="15" t="s">
        <v>15</v>
      </c>
      <c r="E8" s="3"/>
      <c r="F8" s="14" t="s">
        <v>16</v>
      </c>
      <c r="G8" s="3"/>
      <c r="H8" s="13" t="s">
        <v>19</v>
      </c>
      <c r="I8" s="3"/>
      <c r="J8" s="3"/>
      <c r="K8" s="10" t="s">
        <v>20</v>
      </c>
      <c r="L8" s="11">
        <f>Calculation!E4</f>
        <v>60933.794759668606</v>
      </c>
      <c r="M8" s="10" t="s">
        <v>21</v>
      </c>
      <c r="N8" s="6"/>
    </row>
    <row r="9" spans="1:15" ht="12.75">
      <c r="A9" s="3"/>
      <c r="B9" s="14"/>
      <c r="C9" s="3"/>
      <c r="D9" s="15"/>
      <c r="E9" s="3"/>
      <c r="F9" s="14"/>
      <c r="G9" s="3"/>
      <c r="H9" s="13"/>
      <c r="I9" s="3"/>
      <c r="J9" s="3"/>
    </row>
    <row r="10" spans="1:15" ht="40.5">
      <c r="A10" s="17" t="s">
        <v>23</v>
      </c>
      <c r="B10" s="18">
        <f>'9. Project 1-Assumption'!M22+'11. Project 3-Assumption'!M4</f>
        <v>19.819800000000001</v>
      </c>
      <c r="C10" s="3"/>
      <c r="D10" s="18">
        <f>'9. Project 1-Assumption'!M4+'10. Project 2-Assumption'!M4+'11. Project 3-Assumption'!M24</f>
        <v>2424.0172198102327</v>
      </c>
      <c r="E10" s="3"/>
      <c r="F10" s="18">
        <f>'9. Project 1-Assumption'!M41+'10. Project 2-Assumption'!M25+'11. Project 3-Assumption'!M45</f>
        <v>1658.9765499999999</v>
      </c>
      <c r="G10" s="3"/>
      <c r="H10" s="19">
        <f>B10+D10+F10</f>
        <v>4102.8135698102324</v>
      </c>
      <c r="I10" s="3"/>
      <c r="J10" s="3"/>
    </row>
    <row r="11" spans="1:15" ht="12.75">
      <c r="A11" s="222" t="s">
        <v>24</v>
      </c>
      <c r="B11" s="216">
        <f>Calculation!D11</f>
        <v>59.933794759668608</v>
      </c>
      <c r="C11" s="3"/>
      <c r="D11" s="216">
        <f>Calculation!D12</f>
        <v>59.933794759668608</v>
      </c>
      <c r="E11" s="3"/>
      <c r="F11" s="216">
        <f>Calculation!D13</f>
        <v>59.933794759668608</v>
      </c>
      <c r="G11" s="3"/>
      <c r="H11" s="3"/>
      <c r="I11" s="3"/>
      <c r="J11" s="3"/>
    </row>
    <row r="12" spans="1:15" ht="25.5">
      <c r="A12" s="217"/>
      <c r="B12" s="217"/>
      <c r="C12" s="3"/>
      <c r="D12" s="217"/>
      <c r="E12" s="3"/>
      <c r="F12" s="217"/>
      <c r="G12" s="3"/>
      <c r="H12" s="13" t="s">
        <v>25</v>
      </c>
      <c r="I12" s="3"/>
      <c r="J12" s="3"/>
    </row>
    <row r="13" spans="1:15" ht="53.25">
      <c r="A13" s="17" t="s">
        <v>26</v>
      </c>
      <c r="B13" s="18">
        <f>Calculation!C11</f>
        <v>1207.69562537768</v>
      </c>
      <c r="C13" s="3"/>
      <c r="D13" s="199">
        <f>Calculation!C12</f>
        <v>147704.56776581923</v>
      </c>
      <c r="E13" s="3"/>
      <c r="F13" s="202">
        <f>Calculation!C13</f>
        <v>101087.7366088031</v>
      </c>
      <c r="G13" s="3"/>
      <c r="H13" s="201">
        <f>B13+D13+F13</f>
        <v>250000</v>
      </c>
      <c r="I13" s="3"/>
      <c r="J13" s="3"/>
    </row>
    <row r="14" spans="1:15" ht="12.7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5" ht="12.75">
      <c r="A15" s="3"/>
      <c r="B15" s="3"/>
      <c r="C15" s="3"/>
      <c r="D15" s="3"/>
      <c r="E15" s="3"/>
      <c r="F15" s="3"/>
      <c r="G15" s="3"/>
      <c r="H15" s="3"/>
      <c r="I15" s="3"/>
      <c r="J15" s="3"/>
    </row>
    <row r="21" spans="4:4" ht="12.75">
      <c r="D21" s="20"/>
    </row>
  </sheetData>
  <mergeCells count="5">
    <mergeCell ref="K2:O2"/>
    <mergeCell ref="A11:A12"/>
    <mergeCell ref="B11:B12"/>
    <mergeCell ref="D11:D12"/>
    <mergeCell ref="F11:F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5"/>
  <sheetViews>
    <sheetView workbookViewId="0">
      <selection activeCell="C7" sqref="C7"/>
    </sheetView>
  </sheetViews>
  <sheetFormatPr defaultColWidth="12.5703125" defaultRowHeight="15.75" customHeight="1"/>
  <cols>
    <col min="1" max="1" width="22.42578125" customWidth="1"/>
    <col min="2" max="2" width="28.28515625" customWidth="1"/>
    <col min="3" max="3" width="28" customWidth="1"/>
    <col min="4" max="4" width="28.28515625" customWidth="1"/>
    <col min="5" max="5" width="27.5703125" customWidth="1"/>
    <col min="6" max="6" width="24.28515625" customWidth="1"/>
  </cols>
  <sheetData>
    <row r="1" spans="1:7" ht="12.75">
      <c r="A1" s="3"/>
      <c r="B1" s="3"/>
      <c r="C1" s="3"/>
      <c r="D1" s="22" t="s">
        <v>8</v>
      </c>
      <c r="E1" s="22" t="s">
        <v>9</v>
      </c>
      <c r="F1" s="23" t="s">
        <v>10</v>
      </c>
      <c r="G1" s="3"/>
    </row>
    <row r="2" spans="1:7" ht="28.5" customHeight="1">
      <c r="A2" s="24" t="s">
        <v>27</v>
      </c>
      <c r="B2" s="25">
        <f>'Reefer Replacement &amp; Cold Room-'!H10</f>
        <v>4102.8135698102324</v>
      </c>
      <c r="C2" s="3"/>
      <c r="D2" s="10" t="s">
        <v>11</v>
      </c>
      <c r="E2" s="26">
        <f>(C11*5.5)/B11</f>
        <v>335.13587117817735</v>
      </c>
      <c r="F2" s="10" t="s">
        <v>12</v>
      </c>
      <c r="G2" s="3"/>
    </row>
    <row r="3" spans="1:7" ht="27" customHeight="1">
      <c r="A3" s="27" t="s">
        <v>28</v>
      </c>
      <c r="B3" s="28">
        <v>250000</v>
      </c>
      <c r="C3" s="3"/>
      <c r="D3" s="10" t="s">
        <v>29</v>
      </c>
      <c r="E3" s="26">
        <f>(C12*200)/B12/120</f>
        <v>101.55632459944768</v>
      </c>
      <c r="F3" s="10" t="s">
        <v>14</v>
      </c>
      <c r="G3" s="3"/>
    </row>
    <row r="4" spans="1:7" ht="12.75">
      <c r="A4" s="29" t="s">
        <v>30</v>
      </c>
      <c r="B4" s="30">
        <f>B3/B2</f>
        <v>60.933794759668608</v>
      </c>
      <c r="C4" s="3"/>
      <c r="D4" s="10" t="s">
        <v>20</v>
      </c>
      <c r="E4" s="26">
        <f>(C13*1000)/B13</f>
        <v>60933.794759668606</v>
      </c>
      <c r="F4" s="10" t="s">
        <v>21</v>
      </c>
      <c r="G4" s="3"/>
    </row>
    <row r="5" spans="1:7" ht="12.75">
      <c r="A5" s="31" t="s">
        <v>31</v>
      </c>
      <c r="B5" s="32">
        <f>(B4-1)*1</f>
        <v>59.933794759668608</v>
      </c>
      <c r="C5" s="3"/>
      <c r="D5" s="3"/>
      <c r="E5" s="3"/>
      <c r="F5" s="3"/>
      <c r="G5" s="3"/>
    </row>
    <row r="6" spans="1:7" ht="12.75">
      <c r="A6" s="3"/>
      <c r="B6" s="3"/>
      <c r="C6" s="3"/>
      <c r="D6" s="3"/>
      <c r="E6" s="3"/>
      <c r="F6" s="3"/>
      <c r="G6" s="3"/>
    </row>
    <row r="7" spans="1:7" ht="12.75">
      <c r="A7" s="3"/>
      <c r="B7" s="3"/>
      <c r="C7" s="3"/>
      <c r="E7" s="3"/>
      <c r="F7" s="3"/>
      <c r="G7" s="3"/>
    </row>
    <row r="8" spans="1:7" ht="12.75">
      <c r="A8" s="3"/>
      <c r="B8" s="3"/>
      <c r="C8" s="3"/>
      <c r="E8" s="3"/>
      <c r="F8" s="3"/>
      <c r="G8" s="3"/>
    </row>
    <row r="9" spans="1:7" ht="12.75">
      <c r="A9" s="3"/>
      <c r="B9" s="3"/>
      <c r="C9" s="3"/>
      <c r="E9" s="3"/>
      <c r="F9" s="3"/>
      <c r="G9" s="3"/>
    </row>
    <row r="10" spans="1:7" ht="12.75">
      <c r="A10" s="22" t="s">
        <v>8</v>
      </c>
      <c r="B10" s="22" t="s">
        <v>32</v>
      </c>
      <c r="C10" s="22" t="s">
        <v>33</v>
      </c>
      <c r="D10" s="22" t="s">
        <v>34</v>
      </c>
      <c r="E10" s="3"/>
      <c r="F10" s="3"/>
      <c r="G10" s="3"/>
    </row>
    <row r="11" spans="1:7" ht="12.75">
      <c r="A11" s="10" t="s">
        <v>35</v>
      </c>
      <c r="B11" s="26">
        <f>'1. Executive Summary'!B10</f>
        <v>19.819800000000001</v>
      </c>
      <c r="C11" s="33">
        <f>B11*$B$4</f>
        <v>1207.69562537768</v>
      </c>
      <c r="D11" s="34">
        <f>$B$5</f>
        <v>59.933794759668608</v>
      </c>
      <c r="E11" s="3"/>
      <c r="F11" s="3"/>
      <c r="G11" s="3"/>
    </row>
    <row r="12" spans="1:7" ht="12.75">
      <c r="A12" s="10" t="s">
        <v>36</v>
      </c>
      <c r="B12" s="33">
        <f>'1. Executive Summary'!D10</f>
        <v>2424.0172198102327</v>
      </c>
      <c r="C12" s="33">
        <f>B12*$B$4</f>
        <v>147704.56776581923</v>
      </c>
      <c r="D12" s="34">
        <f>$B$5</f>
        <v>59.933794759668608</v>
      </c>
      <c r="E12" s="3"/>
      <c r="F12" s="3"/>
      <c r="G12" s="3"/>
    </row>
    <row r="13" spans="1:7" ht="12.75">
      <c r="A13" s="10" t="s">
        <v>3</v>
      </c>
      <c r="B13" s="33">
        <f>'1. Executive Summary'!F10</f>
        <v>1658.9765499999999</v>
      </c>
      <c r="C13" s="33">
        <f>B13*$B$4</f>
        <v>101087.7366088031</v>
      </c>
      <c r="D13" s="34">
        <f>$B$5</f>
        <v>59.933794759668608</v>
      </c>
      <c r="G13" s="3"/>
    </row>
    <row r="14" spans="1:7" ht="12.75">
      <c r="A14" s="10" t="s">
        <v>37</v>
      </c>
      <c r="B14" s="33">
        <f>SUM(B11:B13)</f>
        <v>4102.8135698102324</v>
      </c>
      <c r="C14" s="33">
        <f>SUM(C11:C13)</f>
        <v>250000</v>
      </c>
      <c r="D14" s="35"/>
      <c r="G14" s="3"/>
    </row>
    <row r="15" spans="1:7" ht="12.75">
      <c r="A15" s="3"/>
      <c r="B15" s="3"/>
      <c r="C15" s="3"/>
      <c r="G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7"/>
  <sheetViews>
    <sheetView showGridLines="0" topLeftCell="A6" workbookViewId="0">
      <selection activeCell="G24" sqref="G24"/>
    </sheetView>
  </sheetViews>
  <sheetFormatPr defaultColWidth="12.5703125" defaultRowHeight="15.75" customHeight="1"/>
  <cols>
    <col min="1" max="1" width="4.5703125" customWidth="1"/>
    <col min="2" max="2" width="17.28515625" customWidth="1"/>
    <col min="3" max="3" width="15.42578125" customWidth="1"/>
    <col min="6" max="6" width="14.28515625" customWidth="1"/>
    <col min="7" max="7" width="14.140625" customWidth="1"/>
  </cols>
  <sheetData>
    <row r="1" spans="1:6" ht="12.75">
      <c r="B1" s="226" t="s">
        <v>38</v>
      </c>
      <c r="C1" s="224"/>
      <c r="D1" s="224"/>
      <c r="E1" s="224"/>
      <c r="F1" s="225"/>
    </row>
    <row r="2" spans="1:6" ht="15.75" customHeight="1">
      <c r="A2" s="36"/>
      <c r="B2" s="37" t="s">
        <v>39</v>
      </c>
      <c r="C2" s="37" t="s">
        <v>40</v>
      </c>
      <c r="D2" s="37" t="s">
        <v>41</v>
      </c>
      <c r="E2" s="37" t="s">
        <v>42</v>
      </c>
      <c r="F2" s="38" t="s">
        <v>43</v>
      </c>
    </row>
    <row r="3" spans="1:6" ht="15.75" customHeight="1">
      <c r="A3" s="6"/>
      <c r="B3" s="39">
        <f>Calculation!E3</f>
        <v>101.55632459944768</v>
      </c>
      <c r="C3" s="40">
        <v>120</v>
      </c>
      <c r="D3" s="39">
        <f>B3*C10</f>
        <v>22843714.052631203</v>
      </c>
      <c r="E3" s="39">
        <f ca="1">B3*E17</f>
        <v>4970648.3091008691</v>
      </c>
      <c r="F3" s="41">
        <f ca="1">D3+E3</f>
        <v>27814362.361732073</v>
      </c>
    </row>
    <row r="7" spans="1:6" ht="12.75">
      <c r="A7" s="6"/>
      <c r="B7" s="226" t="s">
        <v>44</v>
      </c>
      <c r="C7" s="224"/>
      <c r="D7" s="225"/>
    </row>
    <row r="8" spans="1:6" ht="25.5">
      <c r="A8" s="42"/>
      <c r="B8" s="37" t="s">
        <v>45</v>
      </c>
      <c r="C8" s="37" t="s">
        <v>46</v>
      </c>
      <c r="D8" s="37" t="s">
        <v>47</v>
      </c>
    </row>
    <row r="9" spans="1:6" ht="12.75">
      <c r="A9" s="6"/>
      <c r="B9" s="40">
        <v>15</v>
      </c>
      <c r="C9" s="39">
        <f ca="1">456567*B12</f>
        <v>27933.193667309999</v>
      </c>
      <c r="D9" s="39">
        <f ca="1">C9/B9</f>
        <v>1862.212911154</v>
      </c>
    </row>
    <row r="10" spans="1:6" ht="12.75">
      <c r="A10" s="6"/>
      <c r="B10" s="40">
        <v>120</v>
      </c>
      <c r="C10" s="39">
        <f>B10*D10</f>
        <v>224936.4</v>
      </c>
      <c r="D10" s="39">
        <v>1874.47</v>
      </c>
    </row>
    <row r="12" spans="1:6" ht="12.75">
      <c r="B12" s="43">
        <f ca="1">IFERROR(__xludf.DUMMYFUNCTION("GOOGLEFINANCE(""CURRENCY:GHSEUR"")"),0.06118093)</f>
        <v>6.1180930000000001E-2</v>
      </c>
    </row>
    <row r="14" spans="1:6" ht="12.75">
      <c r="A14" s="6"/>
      <c r="B14" s="226" t="s">
        <v>48</v>
      </c>
      <c r="C14" s="224"/>
      <c r="D14" s="224"/>
      <c r="E14" s="225"/>
    </row>
    <row r="15" spans="1:6" ht="25.5">
      <c r="A15" s="42"/>
      <c r="B15" s="37" t="s">
        <v>45</v>
      </c>
      <c r="C15" s="37" t="s">
        <v>49</v>
      </c>
      <c r="D15" s="37" t="s">
        <v>50</v>
      </c>
      <c r="E15" s="37" t="s">
        <v>46</v>
      </c>
    </row>
    <row r="16" spans="1:6" ht="12.75">
      <c r="A16" s="6"/>
      <c r="B16" s="40">
        <v>15</v>
      </c>
      <c r="C16" s="40">
        <v>5</v>
      </c>
      <c r="D16" s="39">
        <v>100000</v>
      </c>
      <c r="E16" s="39">
        <f ca="1">B12*D16</f>
        <v>6118.0929999999998</v>
      </c>
    </row>
    <row r="17" spans="1:5" ht="12.75">
      <c r="A17" s="6"/>
      <c r="B17" s="40">
        <v>120</v>
      </c>
      <c r="C17" s="44">
        <f>(B17/B16)*C16</f>
        <v>40</v>
      </c>
      <c r="D17" s="39">
        <f>(B17/B16)*D16</f>
        <v>800000</v>
      </c>
      <c r="E17" s="39">
        <f ca="1">B12*D17</f>
        <v>48944.743999999999</v>
      </c>
    </row>
  </sheetData>
  <mergeCells count="3">
    <mergeCell ref="B1:F1"/>
    <mergeCell ref="B7:D7"/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8"/>
  <sheetViews>
    <sheetView workbookViewId="0">
      <selection activeCell="E17" sqref="E17"/>
    </sheetView>
  </sheetViews>
  <sheetFormatPr defaultColWidth="12.5703125" defaultRowHeight="15.75" customHeight="1"/>
  <cols>
    <col min="1" max="1" width="28.140625" customWidth="1"/>
    <col min="2" max="2" width="28.28515625" customWidth="1"/>
    <col min="3" max="3" width="28" customWidth="1"/>
    <col min="4" max="4" width="28.28515625" customWidth="1"/>
    <col min="5" max="5" width="27.5703125" customWidth="1"/>
    <col min="6" max="6" width="24.28515625" customWidth="1"/>
  </cols>
  <sheetData>
    <row r="1" spans="1:7" ht="12.75">
      <c r="A1" s="3"/>
      <c r="B1" s="3"/>
      <c r="C1" s="3"/>
      <c r="D1" s="22" t="s">
        <v>8</v>
      </c>
      <c r="E1" s="22" t="s">
        <v>9</v>
      </c>
      <c r="F1" s="23" t="s">
        <v>10</v>
      </c>
      <c r="G1" s="3"/>
    </row>
    <row r="2" spans="1:7" ht="29.25" customHeight="1">
      <c r="A2" s="24" t="s">
        <v>27</v>
      </c>
      <c r="B2" s="25">
        <f>'1. Executive Summary'!N10</f>
        <v>7016.3959790222953</v>
      </c>
      <c r="C2" s="3"/>
      <c r="D2" s="10" t="s">
        <v>11</v>
      </c>
      <c r="E2" s="26">
        <f>(C11*5.5)/B11</f>
        <v>195.96955532598096</v>
      </c>
      <c r="F2" s="10" t="s">
        <v>12</v>
      </c>
      <c r="G2" s="3"/>
    </row>
    <row r="3" spans="1:7" ht="28.5" customHeight="1">
      <c r="A3" s="27" t="s">
        <v>28</v>
      </c>
      <c r="B3" s="28">
        <v>250000</v>
      </c>
      <c r="C3" s="3"/>
      <c r="D3" s="10" t="s">
        <v>29</v>
      </c>
      <c r="E3" s="26">
        <f>(C12*200)/B12/120</f>
        <v>59.384713735145745</v>
      </c>
      <c r="F3" s="10" t="s">
        <v>14</v>
      </c>
      <c r="G3" s="3"/>
    </row>
    <row r="4" spans="1:7" ht="12.75">
      <c r="A4" s="29" t="s">
        <v>30</v>
      </c>
      <c r="B4" s="30">
        <f>B3/B2</f>
        <v>35.63082824108745</v>
      </c>
      <c r="C4" s="3"/>
      <c r="D4" s="10" t="s">
        <v>20</v>
      </c>
      <c r="E4" s="26">
        <f>(C13*1000)/B13</f>
        <v>35630.828241087445</v>
      </c>
      <c r="F4" s="10" t="s">
        <v>21</v>
      </c>
      <c r="G4" s="3"/>
    </row>
    <row r="5" spans="1:7" ht="12.75">
      <c r="A5" s="31" t="s">
        <v>31</v>
      </c>
      <c r="B5" s="32">
        <f>(B4-1)*1</f>
        <v>34.63082824108745</v>
      </c>
      <c r="C5" s="3"/>
      <c r="D5" s="10" t="s">
        <v>22</v>
      </c>
      <c r="E5" s="26">
        <f>(C14*15)/B14</f>
        <v>534.46242361631175</v>
      </c>
      <c r="F5" s="10" t="s">
        <v>17</v>
      </c>
      <c r="G5" s="3"/>
    </row>
    <row r="6" spans="1:7" ht="12.75">
      <c r="A6" s="3"/>
      <c r="B6" s="3"/>
      <c r="C6" s="3"/>
      <c r="D6" s="10" t="s">
        <v>18</v>
      </c>
      <c r="E6" s="26">
        <f>(C15*2000)/B15</f>
        <v>71261.656482174905</v>
      </c>
      <c r="F6" s="10" t="s">
        <v>18</v>
      </c>
      <c r="G6" s="3"/>
    </row>
    <row r="7" spans="1:7" ht="12.75">
      <c r="A7" s="3"/>
      <c r="B7" s="3"/>
      <c r="C7" s="3"/>
      <c r="D7" s="10" t="s">
        <v>6</v>
      </c>
      <c r="E7" s="26">
        <f>(C16*15)/B16</f>
        <v>534.46242361631175</v>
      </c>
      <c r="F7" s="10" t="s">
        <v>17</v>
      </c>
      <c r="G7" s="3"/>
    </row>
    <row r="8" spans="1:7" ht="12.75">
      <c r="A8" s="3"/>
      <c r="B8" s="3"/>
      <c r="C8" s="3"/>
      <c r="D8" s="3"/>
      <c r="E8" s="3"/>
      <c r="F8" s="3"/>
      <c r="G8" s="3"/>
    </row>
    <row r="9" spans="1:7" ht="12.75">
      <c r="A9" s="3"/>
      <c r="B9" s="3"/>
      <c r="C9" s="3"/>
      <c r="D9" s="3"/>
      <c r="E9" s="3"/>
      <c r="F9" s="3"/>
      <c r="G9" s="3"/>
    </row>
    <row r="10" spans="1:7" ht="25.5">
      <c r="A10" s="22" t="s">
        <v>8</v>
      </c>
      <c r="B10" s="212" t="s">
        <v>32</v>
      </c>
      <c r="C10" s="212" t="s">
        <v>33</v>
      </c>
      <c r="D10" s="212" t="s">
        <v>34</v>
      </c>
      <c r="E10" s="3"/>
      <c r="F10" s="3"/>
      <c r="G10" s="3"/>
    </row>
    <row r="11" spans="1:7" ht="12.75">
      <c r="A11" s="10" t="s">
        <v>35</v>
      </c>
      <c r="B11" s="26">
        <f>'1. Executive Summary'!B10</f>
        <v>19.819800000000001</v>
      </c>
      <c r="C11" s="45">
        <f t="shared" ref="C11:C16" si="0">B11*$B$4</f>
        <v>706.19588957270503</v>
      </c>
      <c r="D11" s="34">
        <f t="shared" ref="D11:D16" si="1">$B$5</f>
        <v>34.63082824108745</v>
      </c>
      <c r="E11" s="3"/>
      <c r="F11" s="3"/>
      <c r="G11" s="3"/>
    </row>
    <row r="12" spans="1:7" ht="12.75">
      <c r="A12" s="10" t="s">
        <v>36</v>
      </c>
      <c r="B12" s="33">
        <f>'1. Executive Summary'!D10</f>
        <v>2424.0172198102327</v>
      </c>
      <c r="C12" s="45">
        <f t="shared" si="0"/>
        <v>86369.741212496723</v>
      </c>
      <c r="D12" s="34">
        <f t="shared" si="1"/>
        <v>34.63082824108745</v>
      </c>
      <c r="E12" s="3"/>
      <c r="F12" s="3"/>
      <c r="G12" s="3"/>
    </row>
    <row r="13" spans="1:7" ht="12.75">
      <c r="A13" s="10" t="s">
        <v>3</v>
      </c>
      <c r="B13" s="33">
        <f>'1. Executive Summary'!F10</f>
        <v>1658.9765499999999</v>
      </c>
      <c r="C13" s="45">
        <f t="shared" si="0"/>
        <v>59110.708509041819</v>
      </c>
      <c r="D13" s="34">
        <f t="shared" si="1"/>
        <v>34.63082824108745</v>
      </c>
      <c r="E13" s="3"/>
      <c r="F13" s="3"/>
      <c r="G13" s="3"/>
    </row>
    <row r="14" spans="1:7" ht="12.75">
      <c r="A14" s="10" t="s">
        <v>22</v>
      </c>
      <c r="B14" s="33">
        <f>'1. Executive Summary'!H10</f>
        <v>1728.0091546740002</v>
      </c>
      <c r="C14" s="45">
        <f t="shared" si="0"/>
        <v>61570.397389216021</v>
      </c>
      <c r="D14" s="34">
        <f t="shared" si="1"/>
        <v>34.63082824108745</v>
      </c>
      <c r="E14" s="3"/>
      <c r="F14" s="3"/>
      <c r="G14" s="3"/>
    </row>
    <row r="15" spans="1:7" ht="12.75">
      <c r="A15" s="10" t="s">
        <v>18</v>
      </c>
      <c r="B15" s="33">
        <f>'1. Executive Summary'!J10</f>
        <v>507.56966260000007</v>
      </c>
      <c r="C15" s="45">
        <f t="shared" si="0"/>
        <v>18085.12746848731</v>
      </c>
      <c r="D15" s="34">
        <f t="shared" si="1"/>
        <v>34.63082824108745</v>
      </c>
      <c r="E15" s="3"/>
      <c r="F15" s="3"/>
      <c r="G15" s="3"/>
    </row>
    <row r="16" spans="1:7" ht="12.75">
      <c r="A16" s="10" t="s">
        <v>6</v>
      </c>
      <c r="B16" s="33">
        <f>'1. Executive Summary'!L10</f>
        <v>678.00359193806253</v>
      </c>
      <c r="C16" s="45">
        <f t="shared" si="0"/>
        <v>24157.829531185449</v>
      </c>
      <c r="D16" s="34">
        <f t="shared" si="1"/>
        <v>34.63082824108745</v>
      </c>
      <c r="E16" s="3"/>
      <c r="F16" s="3"/>
      <c r="G16" s="3"/>
    </row>
    <row r="17" spans="1:7" ht="12.75">
      <c r="A17" s="10" t="s">
        <v>37</v>
      </c>
      <c r="B17" s="33">
        <f>SUM(B11:B16)</f>
        <v>7016.3959790222953</v>
      </c>
      <c r="C17" s="33">
        <f>SUM(C11:C16)</f>
        <v>250000.00000000003</v>
      </c>
      <c r="D17" s="35"/>
      <c r="E17" s="3"/>
      <c r="F17" s="3"/>
      <c r="G17" s="3"/>
    </row>
    <row r="18" spans="1:7" ht="12.75">
      <c r="A18" s="3"/>
      <c r="B18" s="3"/>
      <c r="C18" s="3"/>
      <c r="D18" s="3"/>
      <c r="E18" s="3"/>
      <c r="F18" s="3"/>
      <c r="G18" s="3"/>
    </row>
  </sheetData>
  <pageMargins left="0.7" right="0.7" top="0.75" bottom="0.75" header="0.3" footer="0.3"/>
  <ignoredErrors>
    <ignoredError sqref="E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7"/>
  <sheetViews>
    <sheetView showGridLines="0" topLeftCell="A41" workbookViewId="0">
      <selection activeCell="K20" sqref="K20"/>
    </sheetView>
  </sheetViews>
  <sheetFormatPr defaultColWidth="12.5703125" defaultRowHeight="15.75" customHeight="1"/>
  <cols>
    <col min="1" max="1" width="4.28515625" customWidth="1"/>
    <col min="2" max="2" width="16.28515625" customWidth="1"/>
    <col min="3" max="3" width="11.5703125" customWidth="1"/>
    <col min="16" max="16" width="6.140625" customWidth="1"/>
  </cols>
  <sheetData>
    <row r="1" spans="1:22">
      <c r="A1" s="3"/>
      <c r="B1" s="46" t="s">
        <v>51</v>
      </c>
      <c r="C1" s="47"/>
      <c r="D1" s="47"/>
      <c r="E1" s="47"/>
      <c r="F1" s="47"/>
      <c r="G1" s="47"/>
      <c r="H1" s="47"/>
      <c r="I1" s="48"/>
      <c r="J1" s="3"/>
      <c r="Q1" s="2" t="s">
        <v>0</v>
      </c>
    </row>
    <row r="2" spans="1:22">
      <c r="A2" s="3"/>
      <c r="B2" s="244" t="s">
        <v>53</v>
      </c>
      <c r="C2" s="245"/>
      <c r="D2" s="3"/>
      <c r="E2" s="240" t="s">
        <v>54</v>
      </c>
      <c r="F2" s="240"/>
      <c r="G2" s="3"/>
      <c r="H2" s="240" t="s">
        <v>55</v>
      </c>
      <c r="I2" s="242"/>
      <c r="J2" s="3"/>
      <c r="Q2" s="235" t="s">
        <v>52</v>
      </c>
      <c r="R2" s="236"/>
      <c r="S2" s="236"/>
      <c r="T2" s="236"/>
      <c r="U2" s="237"/>
      <c r="V2" s="52"/>
    </row>
    <row r="3" spans="1:22">
      <c r="A3" s="53"/>
      <c r="B3" s="246"/>
      <c r="C3" s="247"/>
      <c r="D3" s="3"/>
      <c r="E3" s="241"/>
      <c r="F3" s="241"/>
      <c r="G3" s="3"/>
      <c r="H3" s="241"/>
      <c r="I3" s="243"/>
      <c r="J3" s="3"/>
      <c r="Q3" s="238"/>
      <c r="R3" s="217"/>
      <c r="S3" s="217"/>
      <c r="T3" s="217"/>
      <c r="U3" s="239"/>
      <c r="V3" s="52"/>
    </row>
    <row r="4" spans="1:22" s="204" customFormat="1">
      <c r="A4" s="203"/>
      <c r="B4" s="246"/>
      <c r="C4" s="247"/>
      <c r="D4" s="3"/>
      <c r="E4" s="241"/>
      <c r="F4" s="241"/>
      <c r="G4" s="3"/>
      <c r="H4" s="241"/>
      <c r="I4" s="243"/>
      <c r="J4" s="3"/>
      <c r="Q4" s="238"/>
      <c r="R4" s="217"/>
      <c r="S4" s="217"/>
      <c r="T4" s="217"/>
      <c r="U4" s="239"/>
      <c r="V4" s="209"/>
    </row>
    <row r="5" spans="1:22">
      <c r="A5" s="3"/>
      <c r="B5" s="29"/>
      <c r="C5" s="54">
        <f>'3. Haulage-Assumption'!B2</f>
        <v>15</v>
      </c>
      <c r="D5" s="3"/>
      <c r="E5" s="49"/>
      <c r="F5" s="55">
        <f>'3. Haulage-Assumption'!B15</f>
        <v>1067040</v>
      </c>
      <c r="G5" s="3"/>
      <c r="H5" s="49"/>
      <c r="I5" s="56">
        <f>'3. Haulage-Assumption'!B16</f>
        <v>3104.1328087598395</v>
      </c>
      <c r="J5" s="3"/>
      <c r="Q5" s="238"/>
      <c r="R5" s="217"/>
      <c r="S5" s="217"/>
      <c r="T5" s="217"/>
      <c r="U5" s="239"/>
      <c r="V5" s="52"/>
    </row>
    <row r="6" spans="1:22">
      <c r="A6" s="3"/>
      <c r="B6" s="29"/>
      <c r="C6" s="52"/>
      <c r="D6" s="3"/>
      <c r="E6" s="49"/>
      <c r="F6" s="49"/>
      <c r="G6" s="3"/>
      <c r="H6" s="49"/>
      <c r="I6" s="50"/>
      <c r="J6" s="3"/>
      <c r="Q6" s="238"/>
      <c r="R6" s="217"/>
      <c r="S6" s="217"/>
      <c r="T6" s="217"/>
      <c r="U6" s="239"/>
      <c r="V6" s="52"/>
    </row>
    <row r="7" spans="1:22">
      <c r="A7" s="3"/>
      <c r="B7" s="29"/>
      <c r="C7" s="52"/>
      <c r="D7" s="3"/>
      <c r="E7" s="49"/>
      <c r="F7" s="49"/>
      <c r="G7" s="3"/>
      <c r="H7" s="49"/>
      <c r="I7" s="50"/>
      <c r="J7" s="3"/>
      <c r="Q7" s="238"/>
      <c r="R7" s="217"/>
      <c r="S7" s="217"/>
      <c r="T7" s="217"/>
      <c r="U7" s="239"/>
      <c r="V7" s="52"/>
    </row>
    <row r="8" spans="1:22">
      <c r="A8" s="3"/>
      <c r="B8" s="29"/>
      <c r="C8" s="52"/>
      <c r="D8" s="3"/>
      <c r="E8" s="49"/>
      <c r="F8" s="49"/>
      <c r="G8" s="3"/>
      <c r="H8" s="49"/>
      <c r="I8" s="50"/>
      <c r="J8" s="3"/>
      <c r="Q8" s="238"/>
      <c r="R8" s="217"/>
      <c r="S8" s="217"/>
      <c r="T8" s="217"/>
      <c r="U8" s="239"/>
      <c r="V8" s="52"/>
    </row>
    <row r="9" spans="1:22">
      <c r="A9" s="3"/>
      <c r="B9" s="57" t="s">
        <v>56</v>
      </c>
      <c r="C9" s="58"/>
      <c r="D9" s="59"/>
      <c r="E9" s="157"/>
      <c r="F9" s="157"/>
      <c r="G9" s="59"/>
      <c r="H9" s="60"/>
      <c r="I9" s="61"/>
      <c r="J9" s="3"/>
      <c r="Q9" s="238"/>
      <c r="R9" s="217"/>
      <c r="S9" s="217"/>
      <c r="T9" s="217"/>
      <c r="U9" s="239"/>
      <c r="V9" s="52"/>
    </row>
    <row r="10" spans="1:22">
      <c r="A10" s="3"/>
      <c r="B10" s="174"/>
      <c r="C10" s="64"/>
      <c r="D10" s="203"/>
      <c r="E10" s="229" t="s">
        <v>57</v>
      </c>
      <c r="F10" s="229"/>
      <c r="G10" s="203"/>
      <c r="H10" s="231" t="s">
        <v>58</v>
      </c>
      <c r="I10" s="232"/>
      <c r="J10" s="3"/>
      <c r="Q10" s="238"/>
      <c r="R10" s="217"/>
      <c r="S10" s="217"/>
      <c r="T10" s="217"/>
      <c r="U10" s="239"/>
      <c r="V10" s="123"/>
    </row>
    <row r="11" spans="1:22">
      <c r="A11" s="3"/>
      <c r="B11" s="227" t="s">
        <v>53</v>
      </c>
      <c r="C11" s="228"/>
      <c r="D11" s="3"/>
      <c r="E11" s="230"/>
      <c r="F11" s="230"/>
      <c r="G11" s="3"/>
      <c r="H11" s="233"/>
      <c r="I11" s="234"/>
      <c r="J11" s="3"/>
      <c r="Q11" s="238"/>
      <c r="R11" s="217"/>
      <c r="S11" s="217"/>
      <c r="T11" s="217"/>
      <c r="U11" s="239"/>
      <c r="V11" s="52"/>
    </row>
    <row r="12" spans="1:22">
      <c r="A12" s="203"/>
      <c r="B12" s="227"/>
      <c r="C12" s="228"/>
      <c r="D12" s="3"/>
      <c r="E12" s="230"/>
      <c r="F12" s="230"/>
      <c r="G12" s="3"/>
      <c r="H12" s="233"/>
      <c r="I12" s="234"/>
      <c r="J12" s="3"/>
      <c r="Q12" s="238"/>
      <c r="R12" s="217"/>
      <c r="S12" s="217"/>
      <c r="T12" s="217"/>
      <c r="U12" s="239"/>
      <c r="V12" s="52"/>
    </row>
    <row r="13" spans="1:22">
      <c r="A13" s="3"/>
      <c r="B13" s="29"/>
      <c r="C13" s="54">
        <f>'3. Haulage-Assumption'!B2</f>
        <v>15</v>
      </c>
      <c r="D13" s="3"/>
      <c r="E13" s="49"/>
      <c r="F13" s="62">
        <f>'3. Haulage-Assumption'!B11</f>
        <v>0.55668016194331982</v>
      </c>
      <c r="G13" s="3"/>
      <c r="H13" s="49"/>
      <c r="I13" s="56">
        <f>'3. Haulage-Assumption'!L4</f>
        <v>1728.0091546740002</v>
      </c>
      <c r="J13" s="3"/>
      <c r="Q13" s="238"/>
      <c r="R13" s="217"/>
      <c r="S13" s="217"/>
      <c r="T13" s="217"/>
      <c r="U13" s="239"/>
      <c r="V13" s="52"/>
    </row>
    <row r="14" spans="1:22">
      <c r="A14" s="3"/>
      <c r="B14" s="29"/>
      <c r="C14" s="52"/>
      <c r="D14" s="3"/>
      <c r="E14" s="49"/>
      <c r="F14" s="49"/>
      <c r="G14" s="3"/>
      <c r="H14" s="49"/>
      <c r="I14" s="50"/>
      <c r="J14" s="3"/>
      <c r="Q14" s="238"/>
      <c r="R14" s="217"/>
      <c r="S14" s="217"/>
      <c r="T14" s="217"/>
      <c r="U14" s="239"/>
      <c r="V14" s="52"/>
    </row>
    <row r="15" spans="1:22">
      <c r="A15" s="3"/>
      <c r="B15" s="29"/>
      <c r="C15" s="52"/>
      <c r="D15" s="3"/>
      <c r="E15" s="49"/>
      <c r="F15" s="49"/>
      <c r="G15" s="3"/>
      <c r="H15" s="49"/>
      <c r="I15" s="50"/>
      <c r="J15" s="3"/>
      <c r="Q15" s="238"/>
      <c r="R15" s="217"/>
      <c r="S15" s="217"/>
      <c r="T15" s="217"/>
      <c r="U15" s="239"/>
      <c r="V15" s="52"/>
    </row>
    <row r="16" spans="1:22">
      <c r="A16" s="3"/>
      <c r="B16" s="29"/>
      <c r="C16" s="52"/>
      <c r="D16" s="3"/>
      <c r="E16" s="49"/>
      <c r="F16" s="49"/>
      <c r="G16" s="3"/>
      <c r="H16" s="49"/>
      <c r="I16" s="63"/>
      <c r="J16" s="3"/>
      <c r="Q16" s="64"/>
      <c r="R16" s="64"/>
      <c r="S16" s="64"/>
      <c r="T16" s="64"/>
      <c r="U16" s="64"/>
      <c r="V16" s="52"/>
    </row>
    <row r="17" spans="1:21">
      <c r="A17" s="3"/>
      <c r="B17" s="205" t="s">
        <v>59</v>
      </c>
      <c r="C17" s="110"/>
      <c r="D17" s="59"/>
      <c r="E17" s="59"/>
      <c r="F17" s="59"/>
      <c r="G17" s="59"/>
      <c r="H17" s="59"/>
      <c r="I17" s="63"/>
      <c r="J17" s="3"/>
      <c r="Q17" s="52"/>
      <c r="R17" s="52"/>
      <c r="S17" s="52"/>
      <c r="T17" s="52"/>
      <c r="U17" s="52"/>
    </row>
    <row r="18" spans="1:21">
      <c r="A18" s="3"/>
      <c r="B18" s="213"/>
      <c r="C18" s="214"/>
      <c r="D18" s="203"/>
      <c r="E18" s="231" t="s">
        <v>60</v>
      </c>
      <c r="F18" s="231"/>
      <c r="G18" s="203"/>
      <c r="H18" s="231" t="s">
        <v>58</v>
      </c>
      <c r="I18" s="232"/>
      <c r="J18" s="3"/>
      <c r="Q18" s="123"/>
      <c r="R18" s="123"/>
      <c r="S18" s="123"/>
      <c r="T18" s="123"/>
      <c r="U18" s="123"/>
    </row>
    <row r="19" spans="1:21">
      <c r="A19" s="3"/>
      <c r="B19" s="227" t="s">
        <v>53</v>
      </c>
      <c r="C19" s="228"/>
      <c r="D19" s="203"/>
      <c r="E19" s="233"/>
      <c r="F19" s="233"/>
      <c r="G19" s="203"/>
      <c r="H19" s="233"/>
      <c r="I19" s="234"/>
      <c r="J19" s="3"/>
      <c r="Q19" s="123"/>
      <c r="R19" s="123"/>
      <c r="S19" s="123"/>
      <c r="T19" s="123"/>
      <c r="U19" s="123"/>
    </row>
    <row r="20" spans="1:21">
      <c r="A20" s="203"/>
      <c r="B20" s="227"/>
      <c r="C20" s="228"/>
      <c r="D20" s="3"/>
      <c r="E20" s="233"/>
      <c r="F20" s="233"/>
      <c r="G20" s="3"/>
      <c r="H20" s="233"/>
      <c r="I20" s="234"/>
      <c r="J20" s="3"/>
      <c r="Q20" s="52"/>
      <c r="R20" s="52"/>
      <c r="S20" s="52"/>
      <c r="T20" s="52"/>
      <c r="U20" s="52"/>
    </row>
    <row r="21" spans="1:21">
      <c r="A21" s="3"/>
      <c r="B21" s="65"/>
      <c r="C21" s="54">
        <f>'3. Haulage-Assumption'!B2</f>
        <v>15</v>
      </c>
      <c r="D21" s="3"/>
      <c r="E21" s="3"/>
      <c r="F21" s="62">
        <f>'3. Haulage-Assumption'!B21</f>
        <v>0.21841964687359425</v>
      </c>
      <c r="G21" s="3"/>
      <c r="H21" s="3"/>
      <c r="I21" s="56">
        <f>'3. Haulage-Assumption'!L22</f>
        <v>678.00359193806253</v>
      </c>
      <c r="J21" s="3"/>
      <c r="Q21" s="6"/>
      <c r="R21" s="6"/>
      <c r="S21" s="6"/>
      <c r="T21" s="6"/>
      <c r="U21" s="6"/>
    </row>
    <row r="22" spans="1:21">
      <c r="A22" s="3"/>
      <c r="B22" s="65"/>
      <c r="C22" s="3"/>
      <c r="D22" s="3"/>
      <c r="E22" s="3"/>
      <c r="F22" s="3"/>
      <c r="G22" s="3"/>
      <c r="H22" s="3"/>
      <c r="I22" s="53"/>
      <c r="J22" s="3"/>
      <c r="Q22" s="6"/>
      <c r="R22" s="6"/>
      <c r="S22" s="6"/>
      <c r="T22" s="6"/>
      <c r="U22" s="6"/>
    </row>
    <row r="23" spans="1:21">
      <c r="A23" s="3"/>
      <c r="B23" s="65"/>
      <c r="C23" s="3"/>
      <c r="D23" s="3"/>
      <c r="E23" s="3"/>
      <c r="F23" s="3"/>
      <c r="G23" s="3"/>
      <c r="H23" s="3"/>
      <c r="I23" s="53"/>
      <c r="J23" s="3"/>
      <c r="Q23" s="6"/>
      <c r="R23" s="6"/>
      <c r="S23" s="6"/>
      <c r="T23" s="6"/>
      <c r="U23" s="6"/>
    </row>
    <row r="24" spans="1:21">
      <c r="A24" s="3"/>
      <c r="B24" s="66"/>
      <c r="C24" s="67"/>
      <c r="D24" s="67"/>
      <c r="E24" s="67"/>
      <c r="F24" s="67"/>
      <c r="G24" s="67"/>
      <c r="H24" s="67"/>
      <c r="I24" s="63"/>
      <c r="J24" s="3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21">
      <c r="B27" s="68"/>
      <c r="C27" s="69"/>
      <c r="D27" s="69"/>
      <c r="E27" s="69"/>
      <c r="F27" s="69"/>
      <c r="G27" s="69"/>
      <c r="H27" s="69"/>
      <c r="I27" s="69"/>
    </row>
  </sheetData>
  <mergeCells count="10">
    <mergeCell ref="Q2:U15"/>
    <mergeCell ref="E2:F4"/>
    <mergeCell ref="H2:I4"/>
    <mergeCell ref="B2:C4"/>
    <mergeCell ref="B11:C12"/>
    <mergeCell ref="B19:C20"/>
    <mergeCell ref="E10:F12"/>
    <mergeCell ref="H10:I12"/>
    <mergeCell ref="E18:F20"/>
    <mergeCell ref="H18:I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47"/>
  <sheetViews>
    <sheetView showGridLines="0" workbookViewId="0"/>
  </sheetViews>
  <sheetFormatPr defaultColWidth="12.5703125" defaultRowHeight="15.75" customHeight="1"/>
  <cols>
    <col min="1" max="1" width="61" customWidth="1"/>
    <col min="3" max="3" width="16.140625" customWidth="1"/>
    <col min="4" max="4" width="18.7109375" customWidth="1"/>
    <col min="5" max="5" width="5.140625" customWidth="1"/>
    <col min="7" max="7" width="14" customWidth="1"/>
    <col min="8" max="8" width="13.42578125" customWidth="1"/>
  </cols>
  <sheetData>
    <row r="1" spans="1:12">
      <c r="A1" s="70" t="s">
        <v>61</v>
      </c>
      <c r="B1" s="71"/>
      <c r="C1" s="70" t="s">
        <v>62</v>
      </c>
      <c r="D1" s="70" t="s">
        <v>63</v>
      </c>
      <c r="E1" s="72"/>
      <c r="F1" s="248" t="s">
        <v>64</v>
      </c>
      <c r="G1" s="224"/>
      <c r="H1" s="224"/>
      <c r="I1" s="224"/>
      <c r="J1" s="224"/>
      <c r="K1" s="224"/>
      <c r="L1" s="225"/>
    </row>
    <row r="2" spans="1:12">
      <c r="A2" s="10" t="s">
        <v>65</v>
      </c>
      <c r="B2" s="10">
        <v>15</v>
      </c>
      <c r="C2" s="73"/>
      <c r="D2" s="10"/>
      <c r="E2" s="3"/>
      <c r="F2" s="74"/>
      <c r="G2" s="75"/>
      <c r="H2" s="75"/>
      <c r="I2" s="75"/>
      <c r="J2" s="75"/>
      <c r="K2" s="76"/>
      <c r="L2" s="77"/>
    </row>
    <row r="3" spans="1:12">
      <c r="A3" s="10" t="s">
        <v>66</v>
      </c>
      <c r="B3" s="10">
        <v>12</v>
      </c>
      <c r="C3" s="73" t="s">
        <v>67</v>
      </c>
      <c r="D3" s="10"/>
      <c r="E3" s="3"/>
      <c r="F3" s="78"/>
      <c r="G3" s="79" t="s">
        <v>68</v>
      </c>
      <c r="H3" s="79" t="s">
        <v>69</v>
      </c>
      <c r="I3" s="79" t="s">
        <v>70</v>
      </c>
      <c r="J3" s="79" t="s">
        <v>71</v>
      </c>
      <c r="K3" s="80" t="s">
        <v>72</v>
      </c>
      <c r="L3" s="81" t="s">
        <v>37</v>
      </c>
    </row>
    <row r="4" spans="1:12">
      <c r="A4" s="10" t="s">
        <v>73</v>
      </c>
      <c r="B4" s="10">
        <v>6</v>
      </c>
      <c r="C4" s="73" t="s">
        <v>74</v>
      </c>
      <c r="D4" s="10"/>
      <c r="E4" s="3"/>
      <c r="F4" s="82" t="s">
        <v>75</v>
      </c>
      <c r="G4" s="83">
        <f>B17</f>
        <v>345.60183093480003</v>
      </c>
      <c r="H4" s="83">
        <f>B17</f>
        <v>345.60183093480003</v>
      </c>
      <c r="I4" s="83">
        <f>B17</f>
        <v>345.60183093480003</v>
      </c>
      <c r="J4" s="83">
        <f>B17</f>
        <v>345.60183093480003</v>
      </c>
      <c r="K4" s="83">
        <f>B17</f>
        <v>345.60183093480003</v>
      </c>
      <c r="L4" s="84">
        <f>SUM(G4:K4)</f>
        <v>1728.0091546740002</v>
      </c>
    </row>
    <row r="5" spans="1:12">
      <c r="A5" s="10" t="s">
        <v>76</v>
      </c>
      <c r="B5" s="10">
        <f>52*6</f>
        <v>312</v>
      </c>
      <c r="C5" s="73" t="s">
        <v>74</v>
      </c>
      <c r="D5" s="10"/>
      <c r="E5" s="3"/>
      <c r="F5" s="85"/>
      <c r="G5" s="85"/>
      <c r="H5" s="85"/>
      <c r="I5" s="85"/>
      <c r="J5" s="85"/>
    </row>
    <row r="6" spans="1:12">
      <c r="A6" s="10" t="s">
        <v>77</v>
      </c>
      <c r="B6" s="86">
        <f>3.8*B2</f>
        <v>57</v>
      </c>
      <c r="C6" s="73" t="s">
        <v>78</v>
      </c>
      <c r="D6" s="10"/>
      <c r="E6" s="3"/>
      <c r="F6" s="85"/>
      <c r="G6" s="85"/>
      <c r="H6" s="85"/>
      <c r="I6" s="85"/>
      <c r="J6" s="85"/>
    </row>
    <row r="7" spans="1:12">
      <c r="A7" s="10" t="s">
        <v>79</v>
      </c>
      <c r="B7" s="10">
        <f>B8/B5</f>
        <v>684</v>
      </c>
      <c r="C7" s="73" t="s">
        <v>80</v>
      </c>
      <c r="D7" s="10"/>
      <c r="E7" s="3"/>
      <c r="F7" s="85"/>
      <c r="G7" s="85"/>
      <c r="H7" s="85"/>
      <c r="I7" s="85"/>
      <c r="J7" s="85"/>
    </row>
    <row r="8" spans="1:12">
      <c r="A8" s="10" t="s">
        <v>81</v>
      </c>
      <c r="B8" s="33">
        <f>B6*12*6*52</f>
        <v>213408</v>
      </c>
      <c r="C8" s="73" t="s">
        <v>82</v>
      </c>
      <c r="D8" s="10"/>
      <c r="E8" s="3"/>
      <c r="H8" s="87" t="s">
        <v>83</v>
      </c>
      <c r="I8" s="88">
        <f>B16</f>
        <v>3104.1328087598395</v>
      </c>
      <c r="J8" s="85"/>
    </row>
    <row r="9" spans="1:12">
      <c r="A9" s="89" t="s">
        <v>84</v>
      </c>
      <c r="B9" s="33">
        <f>B2*7920</f>
        <v>118800</v>
      </c>
      <c r="C9" s="73" t="s">
        <v>82</v>
      </c>
      <c r="D9" s="10"/>
      <c r="E9" s="3"/>
      <c r="H9" s="90" t="s">
        <v>85</v>
      </c>
      <c r="I9" s="91">
        <f>B16-L22</f>
        <v>2426.1292168217769</v>
      </c>
      <c r="J9" s="85"/>
    </row>
    <row r="10" spans="1:12">
      <c r="A10" s="10" t="s">
        <v>86</v>
      </c>
      <c r="B10" s="92">
        <f>B9/B5</f>
        <v>380.76923076923077</v>
      </c>
      <c r="C10" s="73" t="s">
        <v>80</v>
      </c>
      <c r="D10" s="10"/>
      <c r="E10" s="3"/>
      <c r="F10" s="85"/>
      <c r="G10" s="85"/>
      <c r="H10" s="93" t="s">
        <v>87</v>
      </c>
      <c r="I10" s="94">
        <f>B16-L4</f>
        <v>1376.1236540858392</v>
      </c>
      <c r="J10" s="85"/>
    </row>
    <row r="11" spans="1:12">
      <c r="A11" s="10" t="s">
        <v>88</v>
      </c>
      <c r="B11" s="95">
        <f>B9/B8*1</f>
        <v>0.55668016194331982</v>
      </c>
      <c r="C11" s="96"/>
      <c r="D11" s="10"/>
      <c r="E11" s="3"/>
      <c r="F11" s="85"/>
      <c r="G11" s="85"/>
      <c r="H11" s="85"/>
      <c r="I11" s="85"/>
      <c r="J11" s="85"/>
    </row>
    <row r="12" spans="1:12">
      <c r="A12" s="10" t="s">
        <v>89</v>
      </c>
      <c r="B12" s="45">
        <v>2.6391</v>
      </c>
      <c r="C12" s="97" t="s">
        <v>90</v>
      </c>
      <c r="D12" s="98" t="s">
        <v>91</v>
      </c>
      <c r="E12" s="3"/>
      <c r="F12" s="85"/>
      <c r="G12" s="85"/>
      <c r="H12" s="85"/>
      <c r="I12" s="85"/>
      <c r="J12" s="85"/>
    </row>
    <row r="13" spans="1:12">
      <c r="A13" s="99" t="s">
        <v>92</v>
      </c>
      <c r="B13" s="100">
        <v>1.10231E-3</v>
      </c>
      <c r="C13" s="101" t="s">
        <v>93</v>
      </c>
      <c r="D13" s="10"/>
      <c r="E13" s="3"/>
      <c r="F13" s="85"/>
      <c r="G13" s="85"/>
      <c r="H13" s="85"/>
      <c r="I13" s="85"/>
      <c r="J13" s="85"/>
    </row>
    <row r="14" spans="1:12">
      <c r="A14" s="10" t="s">
        <v>94</v>
      </c>
      <c r="B14" s="102">
        <f>B8*B12*B13</f>
        <v>620.82656175196792</v>
      </c>
      <c r="C14" s="97" t="s">
        <v>95</v>
      </c>
      <c r="D14" s="10"/>
      <c r="E14" s="3"/>
      <c r="F14" s="85"/>
      <c r="G14" s="85"/>
      <c r="H14" s="85"/>
      <c r="I14" s="85"/>
      <c r="J14" s="85"/>
    </row>
    <row r="15" spans="1:12">
      <c r="A15" s="10" t="s">
        <v>96</v>
      </c>
      <c r="B15" s="33">
        <f>B8*5</f>
        <v>1067040</v>
      </c>
      <c r="C15" s="73" t="s">
        <v>97</v>
      </c>
      <c r="D15" s="10"/>
      <c r="E15" s="3"/>
      <c r="F15" s="85"/>
      <c r="G15" s="85"/>
      <c r="H15" s="85"/>
      <c r="I15" s="85"/>
      <c r="J15" s="85"/>
    </row>
    <row r="16" spans="1:12">
      <c r="A16" s="10" t="s">
        <v>98</v>
      </c>
      <c r="B16" s="102">
        <f>B14*5</f>
        <v>3104.1328087598395</v>
      </c>
      <c r="C16" s="97" t="s">
        <v>99</v>
      </c>
      <c r="D16" s="10"/>
      <c r="E16" s="3"/>
      <c r="F16" s="85"/>
      <c r="G16" s="85"/>
      <c r="H16" s="85"/>
      <c r="I16" s="85"/>
      <c r="J16" s="85"/>
    </row>
    <row r="17" spans="1:12">
      <c r="A17" s="10" t="s">
        <v>100</v>
      </c>
      <c r="B17" s="103">
        <f>B9*B12*B13</f>
        <v>345.60183093480003</v>
      </c>
      <c r="C17" s="97" t="s">
        <v>95</v>
      </c>
      <c r="D17" s="10"/>
      <c r="E17" s="3"/>
      <c r="F17" s="85"/>
      <c r="G17" s="85"/>
      <c r="H17" s="85"/>
      <c r="I17" s="85"/>
      <c r="J17" s="85"/>
    </row>
    <row r="18" spans="1:12">
      <c r="A18" s="85"/>
      <c r="B18" s="85"/>
      <c r="C18" s="85"/>
      <c r="D18" s="85"/>
      <c r="E18" s="85"/>
      <c r="F18" s="85"/>
      <c r="G18" s="85"/>
      <c r="H18" s="85"/>
      <c r="I18" s="85"/>
      <c r="J18" s="85"/>
    </row>
    <row r="19" spans="1:12">
      <c r="A19" s="89" t="s">
        <v>101</v>
      </c>
      <c r="B19" s="104">
        <f>B2*3107.5</f>
        <v>46612.5</v>
      </c>
      <c r="C19" s="73" t="s">
        <v>82</v>
      </c>
      <c r="D19" s="10"/>
      <c r="E19" s="3"/>
      <c r="F19" s="248" t="s">
        <v>102</v>
      </c>
      <c r="G19" s="224"/>
      <c r="H19" s="224"/>
      <c r="I19" s="224"/>
      <c r="J19" s="224"/>
      <c r="K19" s="224"/>
      <c r="L19" s="225"/>
    </row>
    <row r="20" spans="1:12">
      <c r="A20" s="10" t="s">
        <v>103</v>
      </c>
      <c r="B20" s="92">
        <f>B19/B5</f>
        <v>149.39903846153845</v>
      </c>
      <c r="C20" s="73" t="s">
        <v>80</v>
      </c>
      <c r="D20" s="10"/>
      <c r="E20" s="3"/>
      <c r="F20" s="74"/>
      <c r="G20" s="75"/>
      <c r="H20" s="75"/>
      <c r="I20" s="75"/>
      <c r="J20" s="75"/>
      <c r="K20" s="76"/>
      <c r="L20" s="77"/>
    </row>
    <row r="21" spans="1:12">
      <c r="A21" s="10" t="s">
        <v>104</v>
      </c>
      <c r="B21" s="105">
        <f>B19/B8*1</f>
        <v>0.21841964687359425</v>
      </c>
      <c r="C21" s="96"/>
      <c r="D21" s="10"/>
      <c r="E21" s="3"/>
      <c r="F21" s="78"/>
      <c r="G21" s="79" t="s">
        <v>68</v>
      </c>
      <c r="H21" s="79" t="s">
        <v>69</v>
      </c>
      <c r="I21" s="79" t="s">
        <v>70</v>
      </c>
      <c r="J21" s="79" t="s">
        <v>71</v>
      </c>
      <c r="K21" s="80" t="s">
        <v>72</v>
      </c>
      <c r="L21" s="81" t="s">
        <v>37</v>
      </c>
    </row>
    <row r="22" spans="1:12">
      <c r="A22" s="106" t="s">
        <v>105</v>
      </c>
      <c r="B22" s="107">
        <f>B19*B12*B13</f>
        <v>135.60071838761252</v>
      </c>
      <c r="C22" s="108" t="s">
        <v>95</v>
      </c>
      <c r="D22" s="109"/>
      <c r="E22" s="3"/>
      <c r="F22" s="82" t="s">
        <v>75</v>
      </c>
      <c r="G22" s="83">
        <f>B22</f>
        <v>135.60071838761252</v>
      </c>
      <c r="H22" s="83">
        <f>B22</f>
        <v>135.60071838761252</v>
      </c>
      <c r="I22" s="83">
        <f>B22</f>
        <v>135.60071838761252</v>
      </c>
      <c r="J22" s="83">
        <f>B22</f>
        <v>135.60071838761252</v>
      </c>
      <c r="K22" s="83">
        <f>B22</f>
        <v>135.60071838761252</v>
      </c>
      <c r="L22" s="84">
        <f>SUM(G22:K22)</f>
        <v>678.00359193806253</v>
      </c>
    </row>
    <row r="23" spans="1:12">
      <c r="A23" s="64"/>
      <c r="B23" s="110"/>
      <c r="C23" s="111"/>
      <c r="D23" s="64"/>
      <c r="E23" s="3"/>
      <c r="F23" s="85"/>
      <c r="G23" s="85"/>
      <c r="H23" s="85"/>
      <c r="I23" s="85"/>
      <c r="J23" s="85"/>
    </row>
    <row r="24" spans="1:12">
      <c r="A24" s="52"/>
      <c r="B24" s="112"/>
      <c r="C24" s="113"/>
      <c r="D24" s="52"/>
      <c r="E24" s="3"/>
      <c r="F24" s="85"/>
      <c r="G24" s="85"/>
      <c r="H24" s="85"/>
      <c r="I24" s="85"/>
      <c r="J24" s="85"/>
    </row>
    <row r="25" spans="1:12">
      <c r="E25" s="3"/>
      <c r="F25" s="75"/>
      <c r="G25" s="79" t="s">
        <v>68</v>
      </c>
      <c r="H25" s="79" t="s">
        <v>69</v>
      </c>
      <c r="I25" s="79" t="s">
        <v>70</v>
      </c>
      <c r="J25" s="79" t="s">
        <v>71</v>
      </c>
      <c r="K25" s="80" t="s">
        <v>72</v>
      </c>
      <c r="L25" s="76"/>
    </row>
    <row r="26" spans="1:12">
      <c r="A26" s="3"/>
      <c r="B26" s="3"/>
      <c r="C26" s="3"/>
      <c r="D26" s="3"/>
      <c r="E26" s="3"/>
      <c r="F26" s="114" t="s">
        <v>106</v>
      </c>
      <c r="G26" s="115">
        <f t="shared" ref="G26:L26" si="0">G4+G22</f>
        <v>481.20254932241255</v>
      </c>
      <c r="H26" s="115">
        <f t="shared" si="0"/>
        <v>481.20254932241255</v>
      </c>
      <c r="I26" s="115">
        <f t="shared" si="0"/>
        <v>481.20254932241255</v>
      </c>
      <c r="J26" s="115">
        <f t="shared" si="0"/>
        <v>481.20254932241255</v>
      </c>
      <c r="K26" s="115">
        <f t="shared" si="0"/>
        <v>481.20254932241255</v>
      </c>
      <c r="L26" s="115">
        <f t="shared" si="0"/>
        <v>2406.012746612063</v>
      </c>
    </row>
    <row r="27" spans="1:12">
      <c r="A27" s="2"/>
      <c r="B27" s="116"/>
      <c r="C27" s="52"/>
      <c r="D27" s="3"/>
      <c r="E27" s="3"/>
      <c r="F27" s="3"/>
      <c r="G27" s="3"/>
      <c r="H27" s="3"/>
      <c r="I27" s="3"/>
      <c r="J27" s="3"/>
      <c r="K27" s="3"/>
    </row>
    <row r="28" spans="1:12">
      <c r="A28" s="3"/>
      <c r="B28" s="3"/>
      <c r="C28" s="52"/>
      <c r="D28" s="52"/>
      <c r="E28" s="52"/>
      <c r="F28" s="117"/>
      <c r="G28" s="52"/>
      <c r="H28" s="52"/>
      <c r="I28" s="3"/>
      <c r="J28" s="3"/>
    </row>
    <row r="29" spans="1:12">
      <c r="A29" s="52"/>
      <c r="B29" s="52"/>
      <c r="C29" s="52"/>
      <c r="D29" s="52"/>
      <c r="E29" s="52"/>
      <c r="F29" s="117"/>
      <c r="G29" s="52"/>
      <c r="H29" s="52"/>
      <c r="I29" s="3"/>
      <c r="J29" s="3"/>
    </row>
    <row r="30" spans="1:12">
      <c r="A30" s="52"/>
      <c r="B30" s="3"/>
      <c r="C30" s="52"/>
      <c r="D30" s="52"/>
      <c r="E30" s="52"/>
      <c r="F30" s="117"/>
      <c r="G30" s="52"/>
      <c r="H30" s="52"/>
      <c r="I30" s="3"/>
      <c r="J30" s="3"/>
    </row>
    <row r="31" spans="1:12">
      <c r="A31" s="52"/>
      <c r="B31" s="52"/>
      <c r="C31" s="3"/>
      <c r="D31" s="52"/>
      <c r="E31" s="52"/>
      <c r="F31" s="118"/>
      <c r="G31" s="52"/>
      <c r="H31" s="52"/>
      <c r="I31" s="3"/>
      <c r="J31" s="3"/>
    </row>
    <row r="32" spans="1:12">
      <c r="A32" s="52"/>
      <c r="B32" s="52"/>
      <c r="C32" s="3"/>
      <c r="D32" s="3"/>
      <c r="E32" s="3"/>
      <c r="F32" s="119"/>
      <c r="G32" s="3"/>
      <c r="H32" s="3"/>
      <c r="I32" s="3"/>
      <c r="J32" s="3"/>
    </row>
    <row r="33" spans="1:11">
      <c r="A33" s="52"/>
      <c r="B33" s="116"/>
      <c r="C33" s="116"/>
      <c r="D33" s="3"/>
      <c r="E33" s="3"/>
      <c r="F33" s="119"/>
      <c r="G33" s="3"/>
      <c r="H33" s="3"/>
      <c r="I33" s="3"/>
      <c r="J33" s="3"/>
    </row>
    <row r="34" spans="1:11">
      <c r="A34" s="3"/>
      <c r="B34" s="3"/>
      <c r="C34" s="3"/>
      <c r="D34" s="116"/>
      <c r="E34" s="116"/>
      <c r="F34" s="116"/>
      <c r="G34" s="116"/>
      <c r="H34" s="3"/>
      <c r="I34" s="3"/>
      <c r="J34" s="3"/>
    </row>
    <row r="35" spans="1:11">
      <c r="A35" s="120"/>
      <c r="B35" s="120"/>
      <c r="C35" s="120"/>
      <c r="D35" s="3"/>
      <c r="E35" s="3"/>
      <c r="F35" s="3"/>
      <c r="G35" s="3"/>
      <c r="H35" s="3"/>
      <c r="I35" s="3"/>
    </row>
    <row r="36" spans="1:11">
      <c r="A36" s="120"/>
      <c r="B36" s="121"/>
      <c r="C36" s="121"/>
      <c r="D36" s="122"/>
      <c r="E36" s="122"/>
      <c r="F36" s="120"/>
      <c r="G36" s="120"/>
      <c r="H36" s="3"/>
      <c r="I36" s="3"/>
      <c r="J36" s="3"/>
    </row>
    <row r="37" spans="1:11">
      <c r="A37" s="123"/>
      <c r="B37" s="121"/>
      <c r="C37" s="121"/>
      <c r="D37" s="124"/>
      <c r="E37" s="124"/>
      <c r="F37" s="121"/>
      <c r="G37" s="121"/>
      <c r="H37" s="3"/>
      <c r="I37" s="3"/>
    </row>
    <row r="38" spans="1:11">
      <c r="A38" s="52"/>
      <c r="B38" s="116"/>
      <c r="C38" s="116"/>
      <c r="D38" s="125"/>
      <c r="E38" s="125"/>
      <c r="F38" s="121"/>
      <c r="G38" s="121"/>
      <c r="H38" s="3"/>
      <c r="I38" s="3"/>
    </row>
    <row r="39" spans="1:11">
      <c r="A39" s="52"/>
      <c r="B39" s="3"/>
      <c r="C39" s="116"/>
      <c r="D39" s="116"/>
      <c r="E39" s="116"/>
      <c r="F39" s="116"/>
      <c r="G39" s="116"/>
      <c r="H39" s="3"/>
      <c r="I39" s="3"/>
    </row>
    <row r="40" spans="1:11">
      <c r="A40" s="52"/>
      <c r="B40" s="52"/>
      <c r="C40" s="116"/>
      <c r="D40" s="3"/>
      <c r="E40" s="3"/>
      <c r="F40" s="3"/>
      <c r="G40" s="3"/>
      <c r="H40" s="3"/>
      <c r="I40" s="3"/>
    </row>
    <row r="41" spans="1:11">
      <c r="A41" s="52"/>
      <c r="B41" s="113"/>
      <c r="C41" s="116"/>
      <c r="D41" s="117"/>
      <c r="E41" s="117"/>
      <c r="F41" s="52"/>
      <c r="G41" s="52"/>
      <c r="H41" s="3"/>
      <c r="I41" s="3"/>
      <c r="J41" s="3"/>
    </row>
    <row r="42" spans="1:11">
      <c r="A42" s="52"/>
      <c r="B42" s="52"/>
      <c r="C42" s="52"/>
      <c r="D42" s="113"/>
      <c r="E42" s="113"/>
      <c r="F42" s="113"/>
      <c r="G42" s="113"/>
      <c r="H42" s="3"/>
      <c r="I42" s="3"/>
      <c r="J42" s="3"/>
    </row>
    <row r="43" spans="1:11">
      <c r="A43" s="52"/>
      <c r="B43" s="3"/>
      <c r="C43" s="3"/>
      <c r="D43" s="117"/>
      <c r="E43" s="117"/>
      <c r="F43" s="52"/>
      <c r="G43" s="52"/>
      <c r="H43" s="3"/>
      <c r="I43" s="3"/>
      <c r="J43" s="3"/>
    </row>
    <row r="44" spans="1:11">
      <c r="A44" s="52"/>
      <c r="B44" s="3"/>
      <c r="C44" s="3"/>
      <c r="D44" s="119"/>
      <c r="E44" s="119"/>
      <c r="F44" s="3"/>
      <c r="G44" s="3"/>
      <c r="H44" s="3"/>
      <c r="I44" s="3"/>
      <c r="J44" s="3"/>
    </row>
    <row r="45" spans="1:11">
      <c r="A45" s="52"/>
      <c r="B45" s="3"/>
      <c r="C45" s="3"/>
      <c r="D45" s="12"/>
      <c r="E45" s="12"/>
      <c r="F45" s="3"/>
      <c r="G45" s="3"/>
      <c r="H45" s="3"/>
      <c r="I45" s="3"/>
      <c r="J45" s="3"/>
    </row>
    <row r="46" spans="1:11">
      <c r="D46" s="3"/>
      <c r="E46" s="3"/>
      <c r="F46" s="3"/>
      <c r="G46" s="3"/>
      <c r="H46" s="3"/>
      <c r="I46" s="3"/>
      <c r="J46" s="3"/>
    </row>
    <row r="47" spans="1:11">
      <c r="I47" s="3"/>
      <c r="J47" s="3"/>
      <c r="K47" s="3"/>
    </row>
  </sheetData>
  <mergeCells count="2">
    <mergeCell ref="F1:L1"/>
    <mergeCell ref="F19:L19"/>
  </mergeCells>
  <hyperlinks>
    <hyperlink ref="D12" r:id="rId1" location=":~:text=Diesel%20produces%202.6391%20kgs%20of,by%20the%20addition%20of%20oxygen.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38"/>
  <sheetViews>
    <sheetView showGridLines="0" workbookViewId="0">
      <selection activeCell="Q2" sqref="Q2:U11"/>
    </sheetView>
  </sheetViews>
  <sheetFormatPr defaultColWidth="12.5703125" defaultRowHeight="15.75" customHeight="1"/>
  <cols>
    <col min="3" max="3" width="9.28515625" customWidth="1"/>
    <col min="4" max="4" width="6.5703125" customWidth="1"/>
    <col min="7" max="7" width="11.42578125" customWidth="1"/>
    <col min="8" max="8" width="3.5703125" customWidth="1"/>
    <col min="10" max="10" width="11.7109375" customWidth="1"/>
    <col min="11" max="11" width="10.140625" customWidth="1"/>
    <col min="12" max="12" width="6.140625" customWidth="1"/>
    <col min="15" max="15" width="9.28515625" customWidth="1"/>
    <col min="16" max="16" width="3.28515625" customWidth="1"/>
    <col min="21" max="21" width="7.140625" customWidth="1"/>
  </cols>
  <sheetData>
    <row r="1" spans="1:23">
      <c r="A1" s="249" t="s">
        <v>107</v>
      </c>
      <c r="B1" s="236"/>
      <c r="C1" s="236"/>
      <c r="D1" s="236"/>
      <c r="E1" s="236"/>
      <c r="F1" s="236"/>
      <c r="G1" s="237"/>
      <c r="H1" s="3"/>
      <c r="I1" s="249" t="s">
        <v>108</v>
      </c>
      <c r="J1" s="236"/>
      <c r="K1" s="236"/>
      <c r="L1" s="236"/>
      <c r="M1" s="236"/>
      <c r="N1" s="236"/>
      <c r="O1" s="237"/>
      <c r="P1" s="3"/>
      <c r="Q1" s="2" t="s">
        <v>0</v>
      </c>
    </row>
    <row r="2" spans="1:23">
      <c r="A2" s="246" t="s">
        <v>241</v>
      </c>
      <c r="B2" s="217"/>
      <c r="C2" s="3"/>
      <c r="D2" s="3"/>
      <c r="E2" s="3"/>
      <c r="F2" s="250" t="s">
        <v>109</v>
      </c>
      <c r="G2" s="239"/>
      <c r="H2" s="3"/>
      <c r="I2" s="251" t="s">
        <v>241</v>
      </c>
      <c r="J2" s="217"/>
      <c r="K2" s="3"/>
      <c r="L2" s="3"/>
      <c r="M2" s="3"/>
      <c r="N2" s="250" t="s">
        <v>110</v>
      </c>
      <c r="O2" s="239"/>
      <c r="P2" s="3"/>
      <c r="Q2" s="252" t="s">
        <v>240</v>
      </c>
      <c r="R2" s="236"/>
      <c r="S2" s="236"/>
      <c r="T2" s="236"/>
      <c r="U2" s="237"/>
      <c r="V2" s="126"/>
      <c r="W2" s="126"/>
    </row>
    <row r="3" spans="1:23">
      <c r="A3" s="65"/>
      <c r="B3" s="3"/>
      <c r="C3" s="3"/>
      <c r="D3" s="3"/>
      <c r="E3" s="3"/>
      <c r="F3" s="3"/>
      <c r="G3" s="53"/>
      <c r="H3" s="3"/>
      <c r="I3" s="65"/>
      <c r="J3" s="3"/>
      <c r="K3" s="3"/>
      <c r="L3" s="3"/>
      <c r="M3" s="3"/>
      <c r="N3" s="3"/>
      <c r="O3" s="53"/>
      <c r="P3" s="3"/>
      <c r="Q3" s="238"/>
      <c r="R3" s="217"/>
      <c r="S3" s="217"/>
      <c r="T3" s="217"/>
      <c r="U3" s="239"/>
      <c r="V3" s="126"/>
      <c r="W3" s="126"/>
    </row>
    <row r="4" spans="1:23">
      <c r="A4" s="65"/>
      <c r="B4" s="3"/>
      <c r="C4" s="127"/>
      <c r="D4" s="3"/>
      <c r="E4" s="128"/>
      <c r="F4" s="3"/>
      <c r="G4" s="53"/>
      <c r="H4" s="3"/>
      <c r="I4" s="65"/>
      <c r="J4" s="3"/>
      <c r="K4" s="3"/>
      <c r="L4" s="3"/>
      <c r="M4" s="3"/>
      <c r="N4" s="3"/>
      <c r="O4" s="53"/>
      <c r="P4" s="3"/>
      <c r="Q4" s="238"/>
      <c r="R4" s="217"/>
      <c r="S4" s="217"/>
      <c r="T4" s="217"/>
      <c r="U4" s="239"/>
      <c r="V4" s="126"/>
      <c r="W4" s="126"/>
    </row>
    <row r="5" spans="1:23">
      <c r="A5" s="65"/>
      <c r="B5" s="3"/>
      <c r="C5" s="256" t="s">
        <v>111</v>
      </c>
      <c r="D5" s="217"/>
      <c r="E5" s="217"/>
      <c r="F5" s="217"/>
      <c r="G5" s="53"/>
      <c r="H5" s="3"/>
      <c r="I5" s="65"/>
      <c r="J5" s="3"/>
      <c r="K5" s="52" t="s">
        <v>112</v>
      </c>
      <c r="L5" s="3"/>
      <c r="M5" s="3"/>
      <c r="N5" s="3"/>
      <c r="O5" s="53"/>
      <c r="P5" s="3"/>
      <c r="Q5" s="238"/>
      <c r="R5" s="217"/>
      <c r="S5" s="217"/>
      <c r="T5" s="217"/>
      <c r="U5" s="239"/>
      <c r="V5" s="126"/>
      <c r="W5" s="126"/>
    </row>
    <row r="6" spans="1:23">
      <c r="A6" s="65"/>
      <c r="B6" s="3"/>
      <c r="C6" s="3"/>
      <c r="D6" s="3"/>
      <c r="E6" s="3"/>
      <c r="F6" s="3"/>
      <c r="G6" s="53"/>
      <c r="H6" s="3"/>
      <c r="I6" s="65"/>
      <c r="J6" s="3"/>
      <c r="K6" s="3"/>
      <c r="L6" s="3"/>
      <c r="M6" s="3"/>
      <c r="N6" s="3"/>
      <c r="O6" s="53"/>
      <c r="P6" s="3"/>
      <c r="Q6" s="238"/>
      <c r="R6" s="217"/>
      <c r="S6" s="217"/>
      <c r="T6" s="217"/>
      <c r="U6" s="239"/>
      <c r="V6" s="126"/>
      <c r="W6" s="126"/>
    </row>
    <row r="7" spans="1:23">
      <c r="A7" s="129"/>
      <c r="B7" s="12"/>
      <c r="C7" s="3"/>
      <c r="D7" s="210">
        <f>'5. Chest Freezers-Assumption'!B20</f>
        <v>837200</v>
      </c>
      <c r="E7" s="52" t="s">
        <v>113</v>
      </c>
      <c r="F7" s="130"/>
      <c r="G7" s="53"/>
      <c r="H7" s="3"/>
      <c r="I7" s="65"/>
      <c r="J7" s="3"/>
      <c r="K7" s="3"/>
      <c r="L7" s="211">
        <f>'5. Chest Freezers-Assumption'!B21</f>
        <v>507.56966260000007</v>
      </c>
      <c r="M7" s="52" t="s">
        <v>114</v>
      </c>
      <c r="N7" s="3"/>
      <c r="O7" s="53"/>
      <c r="P7" s="3"/>
      <c r="Q7" s="238"/>
      <c r="R7" s="217"/>
      <c r="S7" s="217"/>
      <c r="T7" s="217"/>
      <c r="U7" s="239"/>
      <c r="V7" s="126"/>
      <c r="W7" s="126"/>
    </row>
    <row r="8" spans="1:23">
      <c r="A8" s="65"/>
      <c r="B8" s="3"/>
      <c r="C8" s="3"/>
      <c r="D8" s="3"/>
      <c r="E8" s="131"/>
      <c r="F8" s="3"/>
      <c r="G8" s="53"/>
      <c r="H8" s="3"/>
      <c r="I8" s="65"/>
      <c r="J8" s="3"/>
      <c r="K8" s="3"/>
      <c r="L8" s="3"/>
      <c r="M8" s="3"/>
      <c r="N8" s="3"/>
      <c r="O8" s="53"/>
      <c r="P8" s="3"/>
      <c r="Q8" s="238"/>
      <c r="R8" s="217"/>
      <c r="S8" s="217"/>
      <c r="T8" s="217"/>
      <c r="U8" s="239"/>
      <c r="V8" s="126"/>
      <c r="W8" s="126"/>
    </row>
    <row r="9" spans="1:23">
      <c r="A9" s="65"/>
      <c r="B9" s="3"/>
      <c r="C9" s="3"/>
      <c r="D9" s="3"/>
      <c r="E9" s="3"/>
      <c r="F9" s="3"/>
      <c r="G9" s="53"/>
      <c r="H9" s="3"/>
      <c r="I9" s="65"/>
      <c r="J9" s="3"/>
      <c r="K9" s="3"/>
      <c r="L9" s="3"/>
      <c r="M9" s="3"/>
      <c r="N9" s="3"/>
      <c r="O9" s="53"/>
      <c r="P9" s="3"/>
      <c r="Q9" s="238"/>
      <c r="R9" s="217"/>
      <c r="S9" s="217"/>
      <c r="T9" s="217"/>
      <c r="U9" s="239"/>
      <c r="V9" s="126"/>
      <c r="W9" s="126"/>
    </row>
    <row r="10" spans="1:23">
      <c r="A10" s="246" t="s">
        <v>18</v>
      </c>
      <c r="B10" s="217"/>
      <c r="C10" s="3"/>
      <c r="D10" s="3"/>
      <c r="E10" s="3"/>
      <c r="F10" s="250" t="s">
        <v>115</v>
      </c>
      <c r="G10" s="239"/>
      <c r="H10" s="3"/>
      <c r="I10" s="246" t="s">
        <v>18</v>
      </c>
      <c r="J10" s="217"/>
      <c r="K10" s="3"/>
      <c r="L10" s="3"/>
      <c r="M10" s="3"/>
      <c r="N10" s="250" t="s">
        <v>110</v>
      </c>
      <c r="O10" s="239"/>
      <c r="P10" s="3"/>
      <c r="Q10" s="238"/>
      <c r="R10" s="217"/>
      <c r="S10" s="217"/>
      <c r="T10" s="217"/>
      <c r="U10" s="239"/>
      <c r="V10" s="126"/>
      <c r="W10" s="126"/>
    </row>
    <row r="11" spans="1:23">
      <c r="A11" s="258"/>
      <c r="B11" s="217"/>
      <c r="C11" s="3"/>
      <c r="D11" s="132">
        <f>'5. Chest Freezers-Assumption'!B16</f>
        <v>1</v>
      </c>
      <c r="E11" s="52" t="s">
        <v>116</v>
      </c>
      <c r="F11" s="3"/>
      <c r="G11" s="53"/>
      <c r="H11" s="3"/>
      <c r="I11" s="246"/>
      <c r="J11" s="217"/>
      <c r="K11" s="133"/>
      <c r="L11" s="134">
        <f>'5. Chest Freezers-Assumption'!B16</f>
        <v>1</v>
      </c>
      <c r="M11" s="52" t="s">
        <v>116</v>
      </c>
      <c r="N11" s="3"/>
      <c r="O11" s="53"/>
      <c r="P11" s="3"/>
      <c r="Q11" s="253"/>
      <c r="R11" s="254"/>
      <c r="S11" s="254"/>
      <c r="T11" s="254"/>
      <c r="U11" s="255"/>
      <c r="V11" s="126"/>
      <c r="W11" s="126"/>
    </row>
    <row r="12" spans="1:23">
      <c r="A12" s="65"/>
      <c r="B12" s="3"/>
      <c r="C12" s="127"/>
      <c r="D12" s="3"/>
      <c r="E12" s="128"/>
      <c r="F12" s="3"/>
      <c r="G12" s="53"/>
      <c r="H12" s="3"/>
      <c r="I12" s="65"/>
      <c r="J12" s="3"/>
      <c r="K12" s="3"/>
      <c r="L12" s="3"/>
      <c r="M12" s="3"/>
      <c r="N12" s="3"/>
      <c r="O12" s="53"/>
      <c r="P12" s="3"/>
      <c r="Q12" s="126"/>
      <c r="R12" s="126"/>
      <c r="S12" s="126"/>
      <c r="T12" s="126"/>
      <c r="U12" s="126"/>
      <c r="V12" s="126"/>
      <c r="W12" s="126"/>
    </row>
    <row r="13" spans="1:23">
      <c r="A13" s="65"/>
      <c r="B13" s="3"/>
      <c r="C13" s="52" t="s">
        <v>117</v>
      </c>
      <c r="D13" s="3"/>
      <c r="E13" s="3"/>
      <c r="F13" s="3"/>
      <c r="G13" s="53"/>
      <c r="H13" s="3"/>
      <c r="I13" s="65"/>
      <c r="J13" s="3"/>
      <c r="K13" s="52" t="s">
        <v>118</v>
      </c>
      <c r="L13" s="3"/>
      <c r="M13" s="3"/>
      <c r="N13" s="3"/>
      <c r="O13" s="53"/>
      <c r="P13" s="3"/>
      <c r="Q13" s="126"/>
      <c r="R13" s="126"/>
      <c r="S13" s="126"/>
      <c r="T13" s="126"/>
      <c r="U13" s="126"/>
      <c r="V13" s="126"/>
      <c r="W13" s="126"/>
    </row>
    <row r="14" spans="1:23">
      <c r="A14" s="65"/>
      <c r="B14" s="3"/>
      <c r="C14" s="52"/>
      <c r="D14" s="52"/>
      <c r="E14" s="3"/>
      <c r="F14" s="3"/>
      <c r="G14" s="53"/>
      <c r="H14" s="3"/>
      <c r="I14" s="65"/>
      <c r="J14" s="3"/>
      <c r="K14" s="3"/>
      <c r="L14" s="3"/>
      <c r="M14" s="3"/>
      <c r="N14" s="3"/>
      <c r="O14" s="53"/>
      <c r="P14" s="3"/>
      <c r="Q14" s="126"/>
      <c r="R14" s="126"/>
      <c r="S14" s="126"/>
      <c r="T14" s="126"/>
      <c r="U14" s="126"/>
      <c r="V14" s="126"/>
      <c r="W14" s="126"/>
    </row>
    <row r="15" spans="1:23">
      <c r="A15" s="65"/>
      <c r="B15" s="3"/>
      <c r="C15" s="3"/>
      <c r="D15" s="210">
        <f>'5. Chest Freezers-Assumption'!B22</f>
        <v>837200</v>
      </c>
      <c r="E15" s="52" t="s">
        <v>113</v>
      </c>
      <c r="F15" s="135"/>
      <c r="G15" s="53"/>
      <c r="H15" s="3"/>
      <c r="I15" s="65"/>
      <c r="J15" s="3"/>
      <c r="K15" s="3"/>
      <c r="L15" s="211">
        <f>'5. Chest Freezers-Assumption'!B23</f>
        <v>507.56966260000007</v>
      </c>
      <c r="M15" s="52" t="s">
        <v>114</v>
      </c>
      <c r="N15" s="3"/>
      <c r="O15" s="53"/>
      <c r="P15" s="3"/>
      <c r="Q15" s="126"/>
      <c r="R15" s="126"/>
      <c r="S15" s="126"/>
      <c r="T15" s="126"/>
      <c r="U15" s="126"/>
      <c r="V15" s="126"/>
      <c r="W15" s="126"/>
    </row>
    <row r="16" spans="1:23">
      <c r="A16" s="66"/>
      <c r="B16" s="67"/>
      <c r="C16" s="67"/>
      <c r="D16" s="136"/>
      <c r="E16" s="137"/>
      <c r="F16" s="67"/>
      <c r="G16" s="63"/>
      <c r="H16" s="3"/>
      <c r="I16" s="66"/>
      <c r="J16" s="67"/>
      <c r="K16" s="67"/>
      <c r="L16" s="67"/>
      <c r="M16" s="67"/>
      <c r="N16" s="67"/>
      <c r="O16" s="63"/>
      <c r="P16" s="3"/>
      <c r="Q16" s="126"/>
      <c r="R16" s="126"/>
      <c r="S16" s="126"/>
      <c r="T16" s="126"/>
      <c r="U16" s="126"/>
      <c r="V16" s="126"/>
      <c r="W16" s="126"/>
    </row>
    <row r="17" spans="1:16">
      <c r="A17" s="3"/>
      <c r="B17" s="3"/>
      <c r="C17" s="3"/>
      <c r="D17" s="3"/>
      <c r="E17" s="3"/>
      <c r="F17" s="3"/>
      <c r="G17" s="3"/>
      <c r="H17" s="2"/>
      <c r="I17" s="3"/>
      <c r="J17" s="3"/>
      <c r="K17" s="3"/>
      <c r="L17" s="3"/>
      <c r="M17" s="3"/>
      <c r="N17" s="3"/>
      <c r="O17" s="3"/>
      <c r="P17" s="3"/>
    </row>
    <row r="18" spans="1:16">
      <c r="A18" s="259"/>
      <c r="B18" s="217"/>
      <c r="C18" s="217"/>
      <c r="D18" s="217"/>
      <c r="E18" s="217"/>
      <c r="F18" s="217"/>
      <c r="G18" s="217"/>
      <c r="H18" s="138"/>
      <c r="I18" s="138"/>
      <c r="J18" s="138"/>
      <c r="K18" s="138"/>
      <c r="L18" s="138"/>
      <c r="M18" s="138"/>
    </row>
    <row r="19" spans="1:16">
      <c r="A19" s="257"/>
      <c r="B19" s="217"/>
      <c r="H19" s="138"/>
      <c r="I19" s="138"/>
      <c r="J19" s="138"/>
      <c r="K19" s="138"/>
      <c r="L19" s="138"/>
      <c r="M19" s="138"/>
    </row>
    <row r="20" spans="1:16">
      <c r="H20" s="138"/>
      <c r="I20" s="138"/>
      <c r="J20" s="138"/>
      <c r="K20" s="138"/>
      <c r="L20" s="138"/>
      <c r="M20" s="138"/>
    </row>
    <row r="21" spans="1:16">
      <c r="H21" s="138"/>
      <c r="I21" s="138"/>
      <c r="J21" s="138"/>
      <c r="K21" s="138"/>
      <c r="L21" s="138"/>
      <c r="M21" s="138"/>
    </row>
    <row r="22" spans="1:16">
      <c r="H22" s="138"/>
      <c r="I22" s="138"/>
      <c r="J22" s="138"/>
      <c r="K22" s="138"/>
      <c r="L22" s="138"/>
      <c r="M22" s="138"/>
    </row>
    <row r="23" spans="1:16">
      <c r="H23" s="138"/>
      <c r="I23" s="138"/>
      <c r="J23" s="138"/>
      <c r="K23" s="138"/>
      <c r="L23" s="138"/>
      <c r="M23" s="138"/>
    </row>
    <row r="24" spans="1:16">
      <c r="H24" s="138"/>
      <c r="I24" s="138"/>
      <c r="J24" s="138"/>
      <c r="K24" s="138"/>
      <c r="L24" s="138"/>
      <c r="M24" s="138"/>
    </row>
    <row r="25" spans="1:16">
      <c r="H25" s="138"/>
      <c r="I25" s="138"/>
      <c r="J25" s="138"/>
      <c r="K25" s="138"/>
      <c r="L25" s="138"/>
      <c r="M25" s="138"/>
    </row>
    <row r="26" spans="1:16">
      <c r="H26" s="138"/>
      <c r="I26" s="138"/>
      <c r="J26" s="138"/>
      <c r="K26" s="138"/>
      <c r="L26" s="138"/>
      <c r="M26" s="138"/>
    </row>
    <row r="27" spans="1:16">
      <c r="H27" s="138"/>
      <c r="I27" s="138"/>
      <c r="J27" s="138"/>
      <c r="K27" s="138"/>
      <c r="L27" s="138"/>
      <c r="M27" s="138"/>
    </row>
    <row r="28" spans="1:16">
      <c r="H28" s="138"/>
      <c r="I28" s="138"/>
      <c r="J28" s="138"/>
      <c r="K28" s="138"/>
      <c r="L28" s="138"/>
      <c r="M28" s="138"/>
    </row>
    <row r="38" spans="5:5">
      <c r="E38" s="127"/>
    </row>
  </sheetData>
  <mergeCells count="16">
    <mergeCell ref="Q2:U11"/>
    <mergeCell ref="C5:F5"/>
    <mergeCell ref="A19:B19"/>
    <mergeCell ref="N10:O10"/>
    <mergeCell ref="A11:B11"/>
    <mergeCell ref="I11:J11"/>
    <mergeCell ref="A10:B10"/>
    <mergeCell ref="F10:G10"/>
    <mergeCell ref="I10:J10"/>
    <mergeCell ref="A18:G18"/>
    <mergeCell ref="A1:G1"/>
    <mergeCell ref="I1:O1"/>
    <mergeCell ref="F2:G2"/>
    <mergeCell ref="I2:J2"/>
    <mergeCell ref="N2:O2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9"/>
  <sheetViews>
    <sheetView showGridLines="0" topLeftCell="A6" workbookViewId="0">
      <selection activeCell="A15" sqref="A15"/>
    </sheetView>
  </sheetViews>
  <sheetFormatPr defaultColWidth="12.5703125" defaultRowHeight="15.75" customHeight="1"/>
  <cols>
    <col min="1" max="1" width="76.28515625" customWidth="1"/>
    <col min="2" max="2" width="10.85546875" customWidth="1"/>
    <col min="4" max="4" width="22.140625" customWidth="1"/>
    <col min="6" max="6" width="14" customWidth="1"/>
    <col min="7" max="7" width="13.42578125" customWidth="1"/>
  </cols>
  <sheetData>
    <row r="1" spans="1:10" ht="12.75">
      <c r="A1" s="70" t="s">
        <v>61</v>
      </c>
      <c r="B1" s="139" t="s">
        <v>119</v>
      </c>
      <c r="C1" s="139" t="s">
        <v>62</v>
      </c>
      <c r="D1" s="139" t="s">
        <v>63</v>
      </c>
      <c r="E1" s="3"/>
      <c r="F1" s="52"/>
      <c r="G1" s="3"/>
      <c r="H1" s="3"/>
      <c r="I1" s="3"/>
      <c r="J1" s="3"/>
    </row>
    <row r="2" spans="1:10" ht="16.5" customHeight="1">
      <c r="A2" s="10" t="s">
        <v>253</v>
      </c>
      <c r="B2" s="10">
        <v>2000</v>
      </c>
      <c r="C2" s="73"/>
      <c r="D2" s="35"/>
      <c r="E2" s="85"/>
      <c r="F2" s="85"/>
      <c r="G2" s="85"/>
      <c r="H2" s="85"/>
      <c r="I2" s="85"/>
    </row>
    <row r="3" spans="1:10" ht="16.5" customHeight="1">
      <c r="A3" s="10" t="s">
        <v>66</v>
      </c>
      <c r="B3" s="10">
        <v>24</v>
      </c>
      <c r="C3" s="73" t="s">
        <v>67</v>
      </c>
      <c r="D3" s="35"/>
      <c r="E3" s="85" t="s">
        <v>120</v>
      </c>
      <c r="F3" s="85"/>
      <c r="G3" s="85"/>
      <c r="H3" s="85"/>
      <c r="I3" s="85"/>
    </row>
    <row r="4" spans="1:10" ht="14.25">
      <c r="A4" s="10" t="s">
        <v>73</v>
      </c>
      <c r="B4" s="10">
        <v>7</v>
      </c>
      <c r="C4" s="73" t="s">
        <v>74</v>
      </c>
      <c r="D4" s="35"/>
      <c r="E4" s="85"/>
      <c r="F4" s="85"/>
      <c r="G4" s="85"/>
      <c r="H4" s="85"/>
      <c r="I4" s="85"/>
    </row>
    <row r="5" spans="1:10" ht="14.25">
      <c r="A5" s="10" t="s">
        <v>76</v>
      </c>
      <c r="B5" s="10">
        <f>52*B4</f>
        <v>364</v>
      </c>
      <c r="C5" s="73" t="s">
        <v>74</v>
      </c>
      <c r="D5" s="35"/>
      <c r="E5" s="85"/>
      <c r="F5" s="85"/>
      <c r="G5" s="85"/>
      <c r="H5" s="85"/>
      <c r="I5" s="85"/>
    </row>
    <row r="6" spans="1:10" ht="14.25">
      <c r="A6" s="10" t="s">
        <v>121</v>
      </c>
      <c r="B6" s="140">
        <v>600</v>
      </c>
      <c r="C6" s="73" t="s">
        <v>122</v>
      </c>
      <c r="D6" s="141" t="s">
        <v>123</v>
      </c>
      <c r="E6" s="85"/>
      <c r="F6" s="85"/>
      <c r="G6" s="85"/>
      <c r="H6" s="85"/>
      <c r="I6" s="85"/>
    </row>
    <row r="7" spans="1:10" ht="14.25">
      <c r="A7" s="10" t="s">
        <v>124</v>
      </c>
      <c r="B7" s="140">
        <v>230</v>
      </c>
      <c r="C7" s="73" t="s">
        <v>125</v>
      </c>
      <c r="D7" s="141" t="s">
        <v>123</v>
      </c>
      <c r="E7" s="85"/>
      <c r="F7" s="85"/>
      <c r="G7" s="85"/>
      <c r="H7" s="85"/>
      <c r="I7" s="85"/>
    </row>
    <row r="8" spans="1:10" ht="14.25">
      <c r="A8" s="10" t="s">
        <v>126</v>
      </c>
      <c r="B8" s="103">
        <f>(B7*1)/1000</f>
        <v>0.23</v>
      </c>
      <c r="C8" s="73" t="s">
        <v>127</v>
      </c>
      <c r="D8" s="35"/>
      <c r="E8" s="85"/>
      <c r="F8" s="85"/>
      <c r="G8" s="85"/>
      <c r="H8" s="85"/>
      <c r="I8" s="85"/>
    </row>
    <row r="9" spans="1:10" ht="14.25">
      <c r="A9" s="82" t="s">
        <v>128</v>
      </c>
      <c r="B9" s="10">
        <f>B8*B3</f>
        <v>5.5200000000000005</v>
      </c>
      <c r="C9" s="73" t="s">
        <v>129</v>
      </c>
      <c r="D9" s="35"/>
      <c r="E9" s="85"/>
      <c r="F9" s="85"/>
      <c r="G9" s="85"/>
      <c r="H9" s="85"/>
      <c r="I9" s="85"/>
    </row>
    <row r="10" spans="1:10" ht="14.25">
      <c r="A10" s="82" t="s">
        <v>130</v>
      </c>
      <c r="B10" s="140">
        <f>B8*B5</f>
        <v>83.72</v>
      </c>
      <c r="C10" s="73" t="s">
        <v>131</v>
      </c>
      <c r="D10" s="35"/>
      <c r="E10" s="85"/>
      <c r="F10" s="85"/>
      <c r="G10" s="85"/>
      <c r="H10" s="85"/>
      <c r="I10" s="85"/>
    </row>
    <row r="11" spans="1:10" ht="14.25">
      <c r="A11" s="82" t="s">
        <v>254</v>
      </c>
      <c r="B11" s="83">
        <f>B2*B10</f>
        <v>167440</v>
      </c>
      <c r="C11" s="73" t="s">
        <v>131</v>
      </c>
      <c r="D11" s="142"/>
      <c r="E11" s="85"/>
      <c r="F11" s="85"/>
      <c r="G11" s="85"/>
      <c r="H11" s="85"/>
      <c r="I11" s="85"/>
    </row>
    <row r="12" spans="1:10" ht="14.25">
      <c r="A12" s="143" t="s">
        <v>132</v>
      </c>
      <c r="B12" s="144">
        <v>0.55000000000000004</v>
      </c>
      <c r="C12" s="145" t="s">
        <v>133</v>
      </c>
      <c r="D12" s="142" t="s">
        <v>134</v>
      </c>
      <c r="E12" s="85"/>
      <c r="F12" s="85"/>
      <c r="G12" s="85"/>
      <c r="H12" s="85"/>
      <c r="I12" s="85"/>
    </row>
    <row r="13" spans="1:10" ht="14.25">
      <c r="A13" s="146" t="s">
        <v>92</v>
      </c>
      <c r="B13" s="147">
        <v>1.10231E-3</v>
      </c>
      <c r="C13" s="148" t="s">
        <v>135</v>
      </c>
      <c r="D13" s="35"/>
      <c r="E13" s="85"/>
      <c r="F13" s="85"/>
      <c r="G13" s="85"/>
      <c r="H13" s="85"/>
      <c r="I13" s="85"/>
    </row>
    <row r="14" spans="1:10" ht="14.25">
      <c r="A14" s="149" t="s">
        <v>136</v>
      </c>
      <c r="B14" s="150">
        <f>B12*B10*B13</f>
        <v>5.0756966260000008E-2</v>
      </c>
      <c r="C14" s="151" t="s">
        <v>137</v>
      </c>
      <c r="D14" s="35"/>
      <c r="E14" s="85"/>
      <c r="F14" s="85"/>
      <c r="G14" s="85"/>
      <c r="H14" s="85"/>
      <c r="I14" s="85"/>
    </row>
    <row r="15" spans="1:10" ht="14.25">
      <c r="A15" s="149" t="s">
        <v>252</v>
      </c>
      <c r="B15" s="83">
        <f>B2*B14</f>
        <v>101.51393252000001</v>
      </c>
      <c r="C15" s="151" t="s">
        <v>137</v>
      </c>
      <c r="D15" s="35"/>
      <c r="E15" s="85"/>
      <c r="F15" s="85"/>
      <c r="G15" s="85"/>
      <c r="H15" s="85"/>
      <c r="I15" s="85"/>
    </row>
    <row r="16" spans="1:10" ht="14.25">
      <c r="A16" s="10" t="s">
        <v>251</v>
      </c>
      <c r="B16" s="152">
        <v>1</v>
      </c>
      <c r="C16" s="96"/>
      <c r="D16" s="35"/>
      <c r="E16" s="85"/>
      <c r="F16" s="85"/>
      <c r="G16" s="85"/>
      <c r="H16" s="85"/>
      <c r="I16" s="85"/>
    </row>
    <row r="17" spans="1:10" ht="14.25">
      <c r="A17" s="10" t="s">
        <v>250</v>
      </c>
      <c r="B17" s="153">
        <f>B16*B10</f>
        <v>83.72</v>
      </c>
      <c r="C17" s="73" t="s">
        <v>131</v>
      </c>
      <c r="D17" s="35"/>
      <c r="E17" s="85"/>
      <c r="F17" s="85"/>
      <c r="G17" s="85"/>
      <c r="H17" s="85"/>
      <c r="I17" s="85"/>
    </row>
    <row r="18" spans="1:10" ht="14.25">
      <c r="A18" s="10" t="s">
        <v>249</v>
      </c>
      <c r="B18" s="83">
        <f>B2*B17</f>
        <v>167440</v>
      </c>
      <c r="C18" s="73" t="s">
        <v>131</v>
      </c>
      <c r="D18" s="35"/>
      <c r="E18" s="85"/>
      <c r="F18" s="85"/>
      <c r="G18" s="85"/>
      <c r="H18" s="85"/>
      <c r="I18" s="85"/>
    </row>
    <row r="19" spans="1:10" ht="14.25">
      <c r="A19" s="149" t="s">
        <v>246</v>
      </c>
      <c r="B19" s="83">
        <f>B16*B15</f>
        <v>101.51393252000001</v>
      </c>
      <c r="C19" s="151" t="s">
        <v>137</v>
      </c>
      <c r="D19" s="35"/>
      <c r="E19" s="85"/>
      <c r="F19" s="85"/>
      <c r="G19" s="85"/>
      <c r="H19" s="85"/>
      <c r="I19" s="85"/>
    </row>
    <row r="20" spans="1:10" ht="14.25">
      <c r="A20" s="82" t="s">
        <v>247</v>
      </c>
      <c r="B20" s="83">
        <f>B11*5</f>
        <v>837200</v>
      </c>
      <c r="C20" s="73" t="s">
        <v>138</v>
      </c>
      <c r="D20" s="35"/>
      <c r="E20" s="85"/>
      <c r="F20" s="85"/>
      <c r="G20" s="85"/>
      <c r="H20" s="85"/>
      <c r="I20" s="85"/>
    </row>
    <row r="21" spans="1:10" ht="25.5">
      <c r="A21" s="149" t="s">
        <v>248</v>
      </c>
      <c r="B21" s="83">
        <f>B15*5</f>
        <v>507.56966260000007</v>
      </c>
      <c r="C21" s="154" t="s">
        <v>139</v>
      </c>
      <c r="D21" s="35"/>
      <c r="E21" s="85"/>
      <c r="F21" s="85"/>
      <c r="G21" s="85"/>
      <c r="H21" s="85"/>
      <c r="I21" s="85"/>
    </row>
    <row r="22" spans="1:10" ht="14.25">
      <c r="A22" s="10" t="s">
        <v>245</v>
      </c>
      <c r="B22" s="83">
        <f>B18*5</f>
        <v>837200</v>
      </c>
      <c r="C22" s="73" t="s">
        <v>138</v>
      </c>
      <c r="D22" s="35"/>
      <c r="E22" s="85"/>
      <c r="F22" s="85"/>
      <c r="G22" s="85"/>
      <c r="H22" s="85"/>
      <c r="I22" s="85"/>
    </row>
    <row r="23" spans="1:10" ht="25.5">
      <c r="A23" s="149" t="s">
        <v>244</v>
      </c>
      <c r="B23" s="83">
        <f>B19*5</f>
        <v>507.56966260000007</v>
      </c>
      <c r="C23" s="154" t="s">
        <v>139</v>
      </c>
      <c r="D23" s="35"/>
      <c r="E23" s="85"/>
      <c r="F23" s="85"/>
      <c r="G23" s="85"/>
      <c r="H23" s="85"/>
      <c r="I23" s="85"/>
    </row>
    <row r="24" spans="1:10" ht="14.25">
      <c r="A24" s="52"/>
      <c r="B24" s="155"/>
      <c r="C24" s="3"/>
      <c r="D24" s="3"/>
      <c r="E24" s="85"/>
      <c r="F24" s="85"/>
      <c r="G24" s="85"/>
      <c r="H24" s="85"/>
      <c r="I24" s="85"/>
    </row>
    <row r="25" spans="1:10" ht="14.25">
      <c r="A25" s="52"/>
      <c r="B25" s="3"/>
      <c r="C25" s="3"/>
      <c r="D25" s="3"/>
      <c r="E25" s="85"/>
      <c r="F25" s="85"/>
      <c r="G25" s="85"/>
      <c r="H25" s="85"/>
      <c r="I25" s="85"/>
    </row>
    <row r="26" spans="1:10" ht="14.25">
      <c r="A26" s="52"/>
      <c r="B26" s="3"/>
      <c r="C26" s="3"/>
      <c r="D26" s="3"/>
      <c r="E26" s="85"/>
      <c r="F26" s="85"/>
      <c r="G26" s="85"/>
      <c r="H26" s="85"/>
      <c r="I26" s="85"/>
    </row>
    <row r="27" spans="1:10" ht="14.25">
      <c r="A27" s="52"/>
      <c r="B27" s="112"/>
      <c r="C27" s="3"/>
      <c r="D27" s="3"/>
      <c r="E27" s="85"/>
      <c r="F27" s="85"/>
      <c r="G27" s="85"/>
      <c r="H27" s="85"/>
      <c r="I27" s="85"/>
    </row>
    <row r="28" spans="1:10" ht="12.75">
      <c r="A28" s="10" t="s">
        <v>242</v>
      </c>
      <c r="B28" s="26">
        <f>B20</f>
        <v>837200</v>
      </c>
      <c r="C28" s="3"/>
      <c r="D28" s="3"/>
      <c r="E28" s="3"/>
      <c r="F28" s="3"/>
      <c r="G28" s="3"/>
      <c r="H28" s="3"/>
      <c r="I28" s="3"/>
      <c r="J28" s="3"/>
    </row>
    <row r="29" spans="1:10" ht="12.75">
      <c r="A29" s="10" t="s">
        <v>140</v>
      </c>
      <c r="B29" s="26">
        <f>B20-B22</f>
        <v>0</v>
      </c>
      <c r="C29" s="3"/>
      <c r="D29" s="3"/>
      <c r="E29" s="3"/>
      <c r="F29" s="3"/>
      <c r="G29" s="3"/>
      <c r="H29" s="3"/>
      <c r="I29" s="3"/>
      <c r="J29" s="3"/>
    </row>
    <row r="30" spans="1:10" ht="12.75">
      <c r="A30" s="2"/>
      <c r="B30" s="116"/>
      <c r="C30" s="52"/>
      <c r="D30" s="52"/>
      <c r="E30" s="117"/>
      <c r="F30" s="52"/>
      <c r="G30" s="52"/>
      <c r="H30" s="3"/>
      <c r="I30" s="3"/>
    </row>
    <row r="31" spans="1:10" ht="12.75">
      <c r="A31" s="3"/>
      <c r="B31" s="3"/>
      <c r="C31" s="52"/>
      <c r="D31" s="52"/>
      <c r="E31" s="117"/>
      <c r="F31" s="52"/>
      <c r="G31" s="52"/>
      <c r="H31" s="3"/>
      <c r="I31" s="3"/>
    </row>
    <row r="32" spans="1:10" ht="12.75">
      <c r="A32" s="10" t="s">
        <v>243</v>
      </c>
      <c r="B32" s="33">
        <f>B21</f>
        <v>507.56966260000007</v>
      </c>
      <c r="C32" s="52"/>
      <c r="D32" s="52"/>
      <c r="E32" s="117"/>
      <c r="F32" s="52"/>
      <c r="G32" s="52"/>
      <c r="H32" s="3"/>
      <c r="I32" s="3"/>
    </row>
    <row r="33" spans="1:9" ht="12.75">
      <c r="A33" s="10" t="s">
        <v>141</v>
      </c>
      <c r="B33" s="26">
        <f>B21-B23</f>
        <v>0</v>
      </c>
      <c r="C33" s="52"/>
      <c r="D33" s="52"/>
      <c r="E33" s="118"/>
      <c r="F33" s="52"/>
      <c r="G33" s="52"/>
      <c r="H33" s="3"/>
      <c r="I33" s="3"/>
    </row>
    <row r="34" spans="1:9" ht="12.75">
      <c r="A34" s="52"/>
      <c r="B34" s="52"/>
      <c r="C34" s="3"/>
      <c r="D34" s="3"/>
      <c r="E34" s="119"/>
      <c r="F34" s="3"/>
      <c r="G34" s="3"/>
      <c r="H34" s="3"/>
      <c r="I34" s="3"/>
    </row>
    <row r="35" spans="1:9" ht="12.75">
      <c r="A35" s="52"/>
      <c r="B35" s="52"/>
      <c r="C35" s="3"/>
      <c r="D35" s="3"/>
      <c r="E35" s="119"/>
      <c r="F35" s="3"/>
      <c r="G35" s="3"/>
      <c r="H35" s="3"/>
      <c r="I35" s="3"/>
    </row>
    <row r="36" spans="1:9" ht="12.75">
      <c r="A36" s="52"/>
      <c r="B36" s="116"/>
      <c r="C36" s="116"/>
      <c r="D36" s="116"/>
      <c r="E36" s="116"/>
      <c r="F36" s="116"/>
      <c r="G36" s="3"/>
      <c r="H36" s="3"/>
      <c r="I36" s="3"/>
    </row>
    <row r="37" spans="1:9" ht="12.75">
      <c r="A37" s="3"/>
      <c r="B37" s="3"/>
      <c r="C37" s="3"/>
      <c r="D37" s="3"/>
      <c r="E37" s="3"/>
      <c r="F37" s="3"/>
      <c r="G37" s="3"/>
      <c r="H37" s="3"/>
    </row>
    <row r="38" spans="1:9" ht="12.75">
      <c r="A38" s="120"/>
      <c r="B38" s="120"/>
      <c r="C38" s="120"/>
      <c r="D38" s="122"/>
      <c r="E38" s="120"/>
      <c r="F38" s="120"/>
      <c r="G38" s="3"/>
      <c r="H38" s="3"/>
      <c r="I38" s="3"/>
    </row>
    <row r="39" spans="1:9" ht="12.75">
      <c r="A39" s="120"/>
      <c r="B39" s="121"/>
      <c r="C39" s="121"/>
      <c r="D39" s="124"/>
      <c r="E39" s="121"/>
      <c r="F39" s="121"/>
      <c r="G39" s="3"/>
      <c r="H39" s="3"/>
    </row>
    <row r="40" spans="1:9" ht="12.75">
      <c r="A40" s="123"/>
      <c r="B40" s="121"/>
      <c r="C40" s="121"/>
      <c r="D40" s="125"/>
      <c r="E40" s="121"/>
      <c r="F40" s="121"/>
      <c r="G40" s="3"/>
      <c r="H40" s="3"/>
    </row>
    <row r="41" spans="1:9" ht="12.75">
      <c r="A41" s="52"/>
      <c r="B41" s="116"/>
      <c r="C41" s="116"/>
      <c r="D41" s="116"/>
      <c r="E41" s="116"/>
      <c r="F41" s="116"/>
      <c r="G41" s="3"/>
      <c r="H41" s="3"/>
    </row>
    <row r="42" spans="1:9" ht="12.75">
      <c r="A42" s="52"/>
      <c r="B42" s="3"/>
      <c r="C42" s="116"/>
      <c r="D42" s="3"/>
      <c r="E42" s="3"/>
      <c r="F42" s="3"/>
      <c r="G42" s="3"/>
      <c r="H42" s="3"/>
    </row>
    <row r="43" spans="1:9" ht="12.75">
      <c r="A43" s="52"/>
      <c r="B43" s="52"/>
      <c r="C43" s="116"/>
      <c r="D43" s="117"/>
      <c r="E43" s="52"/>
      <c r="F43" s="52"/>
      <c r="G43" s="3"/>
      <c r="H43" s="3"/>
      <c r="I43" s="3"/>
    </row>
    <row r="44" spans="1:9" ht="12.75">
      <c r="A44" s="52"/>
      <c r="B44" s="113"/>
      <c r="C44" s="116"/>
      <c r="D44" s="113"/>
      <c r="E44" s="113"/>
      <c r="F44" s="113"/>
      <c r="G44" s="3"/>
      <c r="H44" s="3"/>
      <c r="I44" s="3"/>
    </row>
    <row r="45" spans="1:9" ht="12.75">
      <c r="A45" s="52"/>
      <c r="B45" s="52"/>
      <c r="C45" s="52"/>
      <c r="D45" s="117"/>
      <c r="E45" s="52"/>
      <c r="F45" s="52"/>
      <c r="G45" s="3"/>
      <c r="H45" s="3"/>
      <c r="I45" s="3"/>
    </row>
    <row r="46" spans="1:9" ht="12.75">
      <c r="A46" s="52"/>
      <c r="B46" s="3"/>
      <c r="C46" s="3"/>
      <c r="D46" s="119"/>
      <c r="E46" s="3"/>
      <c r="F46" s="3"/>
      <c r="G46" s="3"/>
      <c r="H46" s="3"/>
      <c r="I46" s="3"/>
    </row>
    <row r="47" spans="1:9" ht="12.75">
      <c r="A47" s="52"/>
      <c r="B47" s="3"/>
      <c r="C47" s="3"/>
      <c r="D47" s="12"/>
      <c r="E47" s="3"/>
      <c r="F47" s="3"/>
      <c r="G47" s="3"/>
      <c r="H47" s="3"/>
      <c r="I47" s="3"/>
    </row>
    <row r="48" spans="1:9" ht="12.75">
      <c r="A48" s="52"/>
      <c r="B48" s="3"/>
      <c r="C48" s="3"/>
      <c r="D48" s="3"/>
      <c r="E48" s="3"/>
      <c r="F48" s="3"/>
      <c r="G48" s="3"/>
      <c r="H48" s="3"/>
      <c r="I48" s="3"/>
    </row>
    <row r="49" spans="8:10" ht="12.75">
      <c r="H49" s="3"/>
      <c r="I49" s="3"/>
      <c r="J49" s="3"/>
    </row>
  </sheetData>
  <hyperlinks>
    <hyperlink ref="D6" r:id="rId1" xr:uid="{00000000-0004-0000-0800-000000000000}"/>
    <hyperlink ref="D7" r:id="rId2" xr:uid="{00000000-0004-0000-0800-000001000000}"/>
    <hyperlink ref="D12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Executive Summary</vt:lpstr>
      <vt:lpstr>Reefer Replacement &amp; Cold Room-</vt:lpstr>
      <vt:lpstr>Calculation</vt:lpstr>
      <vt:lpstr>Cold Room &amp; Solar-Cost Estimate</vt:lpstr>
      <vt:lpstr>Calculation 2</vt:lpstr>
      <vt:lpstr>2. Haulage-Summary</vt:lpstr>
      <vt:lpstr>3. Haulage-Assumption</vt:lpstr>
      <vt:lpstr>4. Chest Freezers-Summary</vt:lpstr>
      <vt:lpstr>5. Chest Freezers-Assumption</vt:lpstr>
      <vt:lpstr>6. Horticulture Project 1</vt:lpstr>
      <vt:lpstr>7. Horticulture Project 2</vt:lpstr>
      <vt:lpstr>8. Horticulture Project 3</vt:lpstr>
      <vt:lpstr>9. Project 1-Assumption</vt:lpstr>
      <vt:lpstr>10. Project 2-Assumption</vt:lpstr>
      <vt:lpstr>11. Project 3-Assumption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Antwi</dc:creator>
  <cp:lastModifiedBy>George Antwi</cp:lastModifiedBy>
  <dcterms:created xsi:type="dcterms:W3CDTF">2025-03-11T10:58:40Z</dcterms:created>
  <dcterms:modified xsi:type="dcterms:W3CDTF">2025-04-12T00:35:04Z</dcterms:modified>
</cp:coreProperties>
</file>