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fileSharing userName="Windows User" algorithmName="SHA-512" hashValue="RBRzeXxRCXCr6ddrS0d2otSUA9U48juc77Eo/PMuR3DajMGyYbr1KrnQGRwxr0AoP2Z2KnKgkCP1iiDmvm4NCA==" saltValue="Y0eSEilCzMzJLLyjDuuSrg==" spinCount="10000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george\Documents\GitHub\EAMES\src\lib\assets\"/>
    </mc:Choice>
  </mc:AlternateContent>
  <xr:revisionPtr revIDLastSave="0" documentId="13_ncr:10001_{C114BA6E-EE7F-4C7B-99DC-A06E39F8E150}" xr6:coauthVersionLast="47" xr6:coauthVersionMax="47" xr10:uidLastSave="{00000000-0000-0000-0000-000000000000}"/>
  <bookViews>
    <workbookView xWindow="1170" yWindow="1140" windowWidth="19200" windowHeight="15060" activeTab="1" xr2:uid="{00000000-000D-0000-FFFF-FFFF00000000}"/>
  </bookViews>
  <sheets>
    <sheet name="Overview" sheetId="1" r:id="rId1"/>
    <sheet name="BOM" sheetId="2" r:id="rId2"/>
    <sheet name="Purchasing" sheetId="9" r:id="rId3"/>
    <sheet name="POs" sheetId="11" r:id="rId4"/>
    <sheet name="Rev History" sheetId="7" r:id="rId5"/>
    <sheet name="BCFAR" sheetId="4" r:id="rId6"/>
    <sheet name="BCDIG" sheetId="5" r:id="rId7"/>
    <sheet name="BCMOU" sheetId="8" r:id="rId8"/>
    <sheet name="Calculations" sheetId="6" r:id="rId9"/>
    <sheet name="IMPORT" sheetId="10" r:id="rId10"/>
  </sheets>
  <externalReferences>
    <externalReference r:id="rId11"/>
  </externalReferences>
  <definedNames>
    <definedName name="_xlnm._FilterDatabase" localSheetId="6" hidden="1">BCDIG!$A$1:$J$1</definedName>
    <definedName name="_xlnm._FilterDatabase" localSheetId="5" hidden="1">BCFAR!$A$1:$M$1</definedName>
    <definedName name="_xlnm._FilterDatabase" localSheetId="1" hidden="1">BOM!$A$1:$D$20</definedName>
    <definedName name="BuildQty" localSheetId="1">BOM!#REF!</definedName>
    <definedName name="BuildQty_Data" localSheetId="1">BOM!#REF!</definedName>
    <definedName name="BuildType" localSheetId="1">BOM!#REF!</definedName>
    <definedName name="BuildType_Data" localSheetId="1">BOM!#REF!</definedName>
    <definedName name="CheckBy" localSheetId="1">BOM!#REF!</definedName>
    <definedName name="CheckBy_Data" localSheetId="1">BOM!#REF!</definedName>
    <definedName name="Class" localSheetId="1">BOM!#REF!</definedName>
    <definedName name="Class_Data" localSheetId="1">BOM!#REF!</definedName>
    <definedName name="Consigned" localSheetId="1">BOM!#REF!</definedName>
    <definedName name="Consigned_Data" localSheetId="1">BOM!#REF!</definedName>
    <definedName name="CPN" localSheetId="1">BOM!#REF!</definedName>
    <definedName name="CPN_Data" localSheetId="1">BOM!#REF!</definedName>
    <definedName name="Description" localSheetId="1">BOM!$C9</definedName>
    <definedName name="Description_Data" localSheetId="1">BOM!$C$2:$C$20</definedName>
    <definedName name="EAS" localSheetId="1">BOM!#REF!</definedName>
    <definedName name="IPN" localSheetId="1">BOM!#REF!</definedName>
    <definedName name="IPN_Data" localSheetId="1">BOM!#REF!</definedName>
    <definedName name="Item" localSheetId="1">BOM!#REF!</definedName>
    <definedName name="Item_Data" localSheetId="1">BOM!#REF!</definedName>
    <definedName name="Location" localSheetId="1">BOM!#REF!</definedName>
    <definedName name="Location_Data" localSheetId="1">BOM!#REF!</definedName>
    <definedName name="MPN" localSheetId="1">BOM!$D$1</definedName>
    <definedName name="MPN_Data" localSheetId="1">BOM!$D$2:$D$20</definedName>
    <definedName name="MPNList" localSheetId="1">BOM!#REF!</definedName>
    <definedName name="MPNList_Data" localSheetId="1">BOM!#REF!</definedName>
    <definedName name="Notes" localSheetId="1">BOM!#REF!</definedName>
    <definedName name="Notes_Data" localSheetId="1">BOM!#REF!</definedName>
    <definedName name="OrderQty" localSheetId="1">BOM!#REF!</definedName>
    <definedName name="OrderQty_Data" localSheetId="1">BOM!#REF!</definedName>
    <definedName name="ProductCode" localSheetId="1">BOM!#REF!</definedName>
    <definedName name="ProductCode_Data" localSheetId="1">BOM!#REF!</definedName>
    <definedName name="ProductType" localSheetId="1">BOM!#REF!</definedName>
    <definedName name="ProductType_Data" localSheetId="1">BOM!#REF!</definedName>
    <definedName name="Qty" localSheetId="1">BOM!$A$1</definedName>
    <definedName name="Qty_Data" localSheetId="1">BOM!$A$2:$A$20</definedName>
    <definedName name="QtyRecd" localSheetId="1">BOM!#REF!</definedName>
    <definedName name="QtyRecd_Data" localSheetId="1">BOM!#REF!</definedName>
    <definedName name="RefDes" localSheetId="1">BOM!$B$1</definedName>
    <definedName name="RefDes_Data" localSheetId="1">BOM!$B10:K28</definedName>
    <definedName name="SPN" localSheetId="1">BOM!#REF!</definedName>
    <definedName name="SPN_Data" localSheetId="1">BOM!#REF!</definedName>
    <definedName name="Supplier" localSheetId="1">BOM!#REF!</definedName>
    <definedName name="Supplier_Data" localSheetId="1">BOM!#REF!</definedName>
    <definedName name="TotalPrice" localSheetId="1">BOM!#REF!</definedName>
    <definedName name="TotalPrice_Data" localSheetId="1">BOM!#REF!</definedName>
    <definedName name="UnitPrice" localSheetId="1">BOM!#REF!</definedName>
    <definedName name="UnitPrice_Data" localSheetId="1">BOM!#REF!</definedName>
    <definedName name="UserAtt" localSheetId="1">BOM!#REF!</definedName>
    <definedName name="UserAtt_Data" localSheetId="1">BOM!#REF!</definedName>
    <definedName name="WorksOrder" localSheetId="1">BOM!#REF!</definedName>
    <definedName name="WorksOrder_Data" localSheetId="1">BOM!#REF!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1" l="1"/>
  <c r="I8" i="11"/>
  <c r="F16" i="11"/>
  <c r="I7" i="11" s="1"/>
  <c r="F18" i="11" l="1"/>
  <c r="F19" i="11"/>
  <c r="I9" i="11"/>
  <c r="T2" i="6"/>
  <c r="S2" i="6"/>
  <c r="R2" i="6"/>
  <c r="AE4" i="6"/>
  <c r="K13" i="9"/>
  <c r="H14" i="9"/>
  <c r="I14" i="9" s="1"/>
  <c r="H13" i="9"/>
  <c r="I13" i="9" s="1"/>
  <c r="H12" i="9"/>
  <c r="I12" i="9" s="1"/>
  <c r="H9" i="9"/>
  <c r="I9" i="9" s="1"/>
  <c r="H8" i="9"/>
  <c r="I8" i="9" s="1"/>
  <c r="H7" i="9"/>
  <c r="I7" i="9" s="1"/>
  <c r="H6" i="9"/>
  <c r="I6" i="9" s="1"/>
  <c r="R3" i="9"/>
  <c r="O3" i="9"/>
  <c r="N3" i="9"/>
  <c r="L3" i="9"/>
  <c r="K3" i="9"/>
  <c r="G14" i="9"/>
  <c r="G13" i="9"/>
  <c r="G12" i="9"/>
  <c r="G11" i="9"/>
  <c r="G10" i="9"/>
  <c r="G9" i="9"/>
  <c r="G8" i="9"/>
  <c r="G7" i="9"/>
  <c r="G6" i="9"/>
  <c r="G5" i="9"/>
  <c r="G4" i="9"/>
  <c r="H11" i="9"/>
  <c r="I11" i="9" s="1"/>
  <c r="U17" i="1"/>
  <c r="U19" i="1"/>
  <c r="U21" i="1"/>
  <c r="U23" i="1"/>
  <c r="U25" i="1"/>
  <c r="AC2" i="6"/>
  <c r="AA4" i="6"/>
  <c r="Q2" i="6"/>
  <c r="Q3" i="1"/>
  <c r="C5" i="7"/>
  <c r="C2" i="7"/>
  <c r="B3" i="6"/>
  <c r="C3" i="6"/>
  <c r="F3" i="6"/>
  <c r="G3" i="6"/>
  <c r="H3" i="6"/>
  <c r="I3" i="6"/>
  <c r="J3" i="6"/>
  <c r="K3" i="6"/>
  <c r="L3" i="6"/>
  <c r="M3" i="6"/>
  <c r="B4" i="6"/>
  <c r="C4" i="6"/>
  <c r="F4" i="6"/>
  <c r="G4" i="6"/>
  <c r="H4" i="6"/>
  <c r="I4" i="6"/>
  <c r="J4" i="6"/>
  <c r="K4" i="6"/>
  <c r="L4" i="6"/>
  <c r="M4" i="6"/>
  <c r="B5" i="6"/>
  <c r="C5" i="6"/>
  <c r="F5" i="6"/>
  <c r="G5" i="6"/>
  <c r="H5" i="6"/>
  <c r="I5" i="6"/>
  <c r="J5" i="6"/>
  <c r="K5" i="6"/>
  <c r="L5" i="6"/>
  <c r="M5" i="6"/>
  <c r="B6" i="6"/>
  <c r="C6" i="6"/>
  <c r="F6" i="6"/>
  <c r="G6" i="6"/>
  <c r="H6" i="6"/>
  <c r="I6" i="6"/>
  <c r="J6" i="6"/>
  <c r="K6" i="6"/>
  <c r="L6" i="6"/>
  <c r="M6" i="6"/>
  <c r="B7" i="6"/>
  <c r="C7" i="6"/>
  <c r="F7" i="6"/>
  <c r="G7" i="6"/>
  <c r="H7" i="6"/>
  <c r="I7" i="6"/>
  <c r="J7" i="6"/>
  <c r="K7" i="6"/>
  <c r="L7" i="6"/>
  <c r="M7" i="6"/>
  <c r="B8" i="6"/>
  <c r="C8" i="6"/>
  <c r="F8" i="6"/>
  <c r="G8" i="6"/>
  <c r="H8" i="6"/>
  <c r="I8" i="6"/>
  <c r="J8" i="6"/>
  <c r="K8" i="6"/>
  <c r="L8" i="6"/>
  <c r="M8" i="6"/>
  <c r="B9" i="6"/>
  <c r="C9" i="6"/>
  <c r="F9" i="6"/>
  <c r="G9" i="6"/>
  <c r="H9" i="6"/>
  <c r="I9" i="6"/>
  <c r="J9" i="6"/>
  <c r="K9" i="6"/>
  <c r="L9" i="6"/>
  <c r="M9" i="6"/>
  <c r="B10" i="6"/>
  <c r="C10" i="6"/>
  <c r="F10" i="6"/>
  <c r="G10" i="6"/>
  <c r="H10" i="6"/>
  <c r="I10" i="6"/>
  <c r="J10" i="6"/>
  <c r="K10" i="6"/>
  <c r="M10" i="6"/>
  <c r="B11" i="6"/>
  <c r="C11" i="6"/>
  <c r="F11" i="6"/>
  <c r="G11" i="6"/>
  <c r="H11" i="6"/>
  <c r="I11" i="6"/>
  <c r="J11" i="6"/>
  <c r="K11" i="6"/>
  <c r="M11" i="6"/>
  <c r="B12" i="6"/>
  <c r="C12" i="6"/>
  <c r="F12" i="6"/>
  <c r="G12" i="6"/>
  <c r="H12" i="6"/>
  <c r="I12" i="6"/>
  <c r="J12" i="6"/>
  <c r="K12" i="6"/>
  <c r="M12" i="6"/>
  <c r="B13" i="6"/>
  <c r="C13" i="6"/>
  <c r="F13" i="6"/>
  <c r="G13" i="6"/>
  <c r="H13" i="6"/>
  <c r="I13" i="6"/>
  <c r="J13" i="6"/>
  <c r="K13" i="6"/>
  <c r="L13" i="6"/>
  <c r="M13" i="6"/>
  <c r="B14" i="6"/>
  <c r="C14" i="6"/>
  <c r="F14" i="6"/>
  <c r="G14" i="6"/>
  <c r="H14" i="6"/>
  <c r="I14" i="6"/>
  <c r="J14" i="6"/>
  <c r="K14" i="6"/>
  <c r="L14" i="6"/>
  <c r="M14" i="6"/>
  <c r="B15" i="6"/>
  <c r="C15" i="6"/>
  <c r="F15" i="6"/>
  <c r="G15" i="6"/>
  <c r="H15" i="6"/>
  <c r="I15" i="6"/>
  <c r="J15" i="6"/>
  <c r="K15" i="6"/>
  <c r="L15" i="6"/>
  <c r="M15" i="6"/>
  <c r="B16" i="6"/>
  <c r="C16" i="6"/>
  <c r="F16" i="6"/>
  <c r="G16" i="6"/>
  <c r="H16" i="6"/>
  <c r="I16" i="6"/>
  <c r="J16" i="6"/>
  <c r="K16" i="6"/>
  <c r="L16" i="6"/>
  <c r="M16" i="6"/>
  <c r="B17" i="6"/>
  <c r="C17" i="6"/>
  <c r="F17" i="6"/>
  <c r="G17" i="6"/>
  <c r="H17" i="6"/>
  <c r="I17" i="6"/>
  <c r="J17" i="6"/>
  <c r="K17" i="6"/>
  <c r="L17" i="6"/>
  <c r="M17" i="6"/>
  <c r="B18" i="6"/>
  <c r="C18" i="6"/>
  <c r="F18" i="6"/>
  <c r="G18" i="6"/>
  <c r="H18" i="6"/>
  <c r="I18" i="6"/>
  <c r="J18" i="6"/>
  <c r="K18" i="6"/>
  <c r="L18" i="6"/>
  <c r="M18" i="6"/>
  <c r="B19" i="6"/>
  <c r="C19" i="6"/>
  <c r="F19" i="6"/>
  <c r="G19" i="6"/>
  <c r="H19" i="6"/>
  <c r="I19" i="6"/>
  <c r="J19" i="6"/>
  <c r="K19" i="6"/>
  <c r="L19" i="6"/>
  <c r="M19" i="6"/>
  <c r="B20" i="6"/>
  <c r="C20" i="6"/>
  <c r="F20" i="6"/>
  <c r="G20" i="6"/>
  <c r="H20" i="6"/>
  <c r="I20" i="6"/>
  <c r="J20" i="6"/>
  <c r="K20" i="6"/>
  <c r="L20" i="6"/>
  <c r="M20" i="6"/>
  <c r="O2" i="6"/>
  <c r="N2" i="6"/>
  <c r="M2" i="6"/>
  <c r="L2" i="6"/>
  <c r="K2" i="6"/>
  <c r="J2" i="6"/>
  <c r="I2" i="6"/>
  <c r="H2" i="6"/>
  <c r="G2" i="6"/>
  <c r="F2" i="6"/>
  <c r="C2" i="6"/>
  <c r="B2" i="6"/>
  <c r="E20" i="1"/>
  <c r="K18" i="9" s="1"/>
  <c r="H17" i="1"/>
  <c r="M3" i="9" s="1"/>
  <c r="E17" i="1"/>
  <c r="K11" i="9" s="1"/>
  <c r="V35" i="1" s="1"/>
  <c r="J4" i="1"/>
  <c r="E18" i="9" s="1"/>
  <c r="E3" i="1"/>
  <c r="C18" i="9" s="1"/>
  <c r="R18" i="9" l="1"/>
  <c r="H10" i="9"/>
  <c r="I10" i="9" s="1"/>
  <c r="K15" i="9"/>
  <c r="P10" i="6" s="1"/>
  <c r="P3" i="9"/>
  <c r="H5" i="9"/>
  <c r="I5" i="9" s="1"/>
  <c r="N26" i="1"/>
  <c r="U13" i="1"/>
  <c r="U15" i="1"/>
  <c r="H4" i="9"/>
  <c r="I4" i="9" s="1"/>
  <c r="A18" i="6"/>
  <c r="D14" i="6"/>
  <c r="D15" i="6"/>
  <c r="K20" i="1"/>
  <c r="W15" i="1"/>
  <c r="A6" i="6"/>
  <c r="A2" i="6"/>
  <c r="E2" i="6" s="1"/>
  <c r="A20" i="6"/>
  <c r="A7" i="6"/>
  <c r="K14" i="1"/>
  <c r="D18" i="6"/>
  <c r="A13" i="6"/>
  <c r="D8" i="6"/>
  <c r="A15" i="6"/>
  <c r="L10" i="6"/>
  <c r="A4" i="6"/>
  <c r="A17" i="6"/>
  <c r="A3" i="6"/>
  <c r="A14" i="6"/>
  <c r="L12" i="6"/>
  <c r="D11" i="6"/>
  <c r="D20" i="6"/>
  <c r="D2" i="6"/>
  <c r="D5" i="6"/>
  <c r="A12" i="6"/>
  <c r="A10" i="6"/>
  <c r="D19" i="6"/>
  <c r="A5" i="6"/>
  <c r="D4" i="6"/>
  <c r="D12" i="6"/>
  <c r="L11" i="6"/>
  <c r="D6" i="6"/>
  <c r="D13" i="6"/>
  <c r="A19" i="6"/>
  <c r="A8" i="6"/>
  <c r="D7" i="6"/>
  <c r="A16" i="6"/>
  <c r="A9" i="6"/>
  <c r="D9" i="6"/>
  <c r="D16" i="6"/>
  <c r="D17" i="6"/>
  <c r="D10" i="6"/>
  <c r="D3" i="6"/>
  <c r="K18" i="1"/>
  <c r="A11" i="6"/>
  <c r="AE3" i="6" l="1"/>
  <c r="M17" i="9"/>
  <c r="Q3" i="9"/>
  <c r="E18" i="6"/>
  <c r="E13" i="6"/>
  <c r="U27" i="1"/>
  <c r="S35" i="1" s="1"/>
  <c r="M11" i="9" s="1"/>
  <c r="E9" i="6"/>
  <c r="E4" i="6"/>
  <c r="E12" i="6"/>
  <c r="E15" i="6"/>
  <c r="E10" i="6"/>
  <c r="E16" i="6"/>
  <c r="E8" i="6"/>
  <c r="E19" i="6"/>
  <c r="N22" i="1"/>
  <c r="E11" i="6"/>
  <c r="E7" i="6"/>
  <c r="E20" i="6"/>
  <c r="Q26" i="1"/>
  <c r="Q22" i="1"/>
  <c r="R22" i="1" s="1"/>
  <c r="E5" i="6"/>
  <c r="E3" i="6"/>
  <c r="E6" i="6"/>
  <c r="E14" i="6"/>
  <c r="E17" i="6"/>
  <c r="Q11" i="9"/>
  <c r="K16" i="1"/>
  <c r="AA2" i="6"/>
  <c r="S41" i="1" l="1"/>
  <c r="W25" i="1"/>
  <c r="O11" i="9" s="1"/>
  <c r="O16" i="9"/>
  <c r="M9" i="9"/>
  <c r="O14" i="9" s="1"/>
  <c r="Q14" i="9"/>
  <c r="AE2" i="6" s="1"/>
  <c r="AE5" i="6"/>
  <c r="AA3" i="6"/>
  <c r="R8" i="9"/>
  <c r="O22" i="1"/>
  <c r="O26" i="1"/>
  <c r="P8" i="9"/>
  <c r="R26" i="1"/>
</calcChain>
</file>

<file path=xl/sharedStrings.xml><?xml version="1.0" encoding="utf-8"?>
<sst xmlns="http://schemas.openxmlformats.org/spreadsheetml/2006/main" count="718" uniqueCount="361">
  <si>
    <t>EAS</t>
  </si>
  <si>
    <t>Mouser</t>
  </si>
  <si>
    <t>Farnell</t>
  </si>
  <si>
    <t>RS</t>
  </si>
  <si>
    <t>Arrow</t>
  </si>
  <si>
    <t>Total</t>
  </si>
  <si>
    <t>Quoted</t>
  </si>
  <si>
    <t>Profit/Loss</t>
  </si>
  <si>
    <t>Qty Check</t>
  </si>
  <si>
    <t>BOM Check</t>
  </si>
  <si>
    <t>Change Description</t>
  </si>
  <si>
    <t>Initial Buy</t>
  </si>
  <si>
    <t>Name</t>
  </si>
  <si>
    <t>Works Order</t>
  </si>
  <si>
    <t>Build Type</t>
  </si>
  <si>
    <t>Product Type</t>
  </si>
  <si>
    <t>Class (Calculation Part)</t>
  </si>
  <si>
    <t>User attribut</t>
  </si>
  <si>
    <t>Product Code</t>
  </si>
  <si>
    <t>Item</t>
  </si>
  <si>
    <t>Consigned</t>
  </si>
  <si>
    <t>CPN</t>
  </si>
  <si>
    <t>RefDes</t>
  </si>
  <si>
    <t>Description</t>
  </si>
  <si>
    <t>MPN-List (BOM)</t>
  </si>
  <si>
    <t>MPN</t>
  </si>
  <si>
    <t>Purchased Part</t>
  </si>
  <si>
    <t>IPN</t>
  </si>
  <si>
    <t>Location</t>
  </si>
  <si>
    <t>Unit Price</t>
  </si>
  <si>
    <t>Notes</t>
  </si>
  <si>
    <t/>
  </si>
  <si>
    <t>False</t>
  </si>
  <si>
    <t>CRC32-774E543A</t>
  </si>
  <si>
    <t>C1, C2, C8, C10</t>
  </si>
  <si>
    <t>4.7uF Capacitor 50V 10% (+/-) X7R sm0805_H_135</t>
  </si>
  <si>
    <t>Murata: GRM21BZ71H475KE15K, Farnell: 3581786</t>
  </si>
  <si>
    <t>GRM21BZ71H475KE15K</t>
  </si>
  <si>
    <t>3582887</t>
  </si>
  <si>
    <t>CRC32-B3E5C1DF</t>
  </si>
  <si>
    <t>C3, C4</t>
  </si>
  <si>
    <t>10nF Capacitor 50V 5% (+/-) X7R sm0402_H</t>
  </si>
  <si>
    <t>Murata: GRM155R71H103JA88D, Digi-Key: 490-7763-1-ND</t>
  </si>
  <si>
    <t>GRM155R71H103JA88D</t>
  </si>
  <si>
    <t>3582814</t>
  </si>
  <si>
    <t>CRC32-CD461878</t>
  </si>
  <si>
    <t>C5</t>
  </si>
  <si>
    <t>2.2uF Capacitor 16V 20% (+/-) X7T sm0402_H_070</t>
  </si>
  <si>
    <t>Murata: GRM155D71C225ME11D, Digi-Key: 490-GRM155D71C225ME11DCT-ND</t>
  </si>
  <si>
    <t>GRM155D71C225ME11D</t>
  </si>
  <si>
    <t>3581351</t>
  </si>
  <si>
    <t>CRC32-FDDD2525</t>
  </si>
  <si>
    <t>C6, C7</t>
  </si>
  <si>
    <t>220pF Capacitor 50V 5% (+/-) NP0 sm0402_H_056</t>
  </si>
  <si>
    <t>Kemet: C0402C221J5GACTU, Farnell: 1414581</t>
  </si>
  <si>
    <t>C0402C221J5GACTU</t>
  </si>
  <si>
    <t>1414581</t>
  </si>
  <si>
    <t>CRC32-4D258AEA</t>
  </si>
  <si>
    <t>C9</t>
  </si>
  <si>
    <t>100nF Capacitor 50V 10% (+/-) X7R sm0402_H_056</t>
  </si>
  <si>
    <t>TDK: C1005X7R1H104K050BB, Mouser: 810-C1005X7R1H104K</t>
  </si>
  <si>
    <t>C1005X7R1H104K050BB</t>
  </si>
  <si>
    <t>2525047</t>
  </si>
  <si>
    <t>CRC32-45FF8816</t>
  </si>
  <si>
    <t>C11, C12, C13, C16, C17, C18</t>
  </si>
  <si>
    <t>22uF Capacitor 16V 20% (+/-) X7R sm1206_h_190</t>
  </si>
  <si>
    <t>Murata: GRM31CZ71C226ME15L, Digi-Key: 490-GRM31CZ71C226ME15LCT-ND</t>
  </si>
  <si>
    <t>Digi-Key</t>
  </si>
  <si>
    <t>GRM31CZ71C226ME15L</t>
  </si>
  <si>
    <t>490-GRM31CZ71C226ME15LCT-ND</t>
  </si>
  <si>
    <t>CRC32-8454D357</t>
  </si>
  <si>
    <t>C15, C20</t>
  </si>
  <si>
    <t>4.7pF Capacitor 50V +/-0.25pF NP0 sm0402_H_056</t>
  </si>
  <si>
    <t>Kemet: C0402C479C5GACTU, Farnell: 1800798</t>
  </si>
  <si>
    <t>C0402C479C5GACTU</t>
  </si>
  <si>
    <t>1800798</t>
  </si>
  <si>
    <t>CRC32-8FBA920C</t>
  </si>
  <si>
    <t>D1</t>
  </si>
  <si>
    <t>SZMMSZ5240BT1G Zener Diode 10V(r) 0.9V(f) 3uA SZMMSZ5240BT1G</t>
  </si>
  <si>
    <t>ONSEMI: SZMMSZ5240BT1G, Digi-Key: SZMMSZ5240BT1GOSTR-ND</t>
  </si>
  <si>
    <t>SZMMSZ5240BT1G</t>
  </si>
  <si>
    <t>2774580</t>
  </si>
  <si>
    <t>CRC32-C3BBF4</t>
  </si>
  <si>
    <t>J1</t>
  </si>
  <si>
    <t>E222V12E51 Must be purchased from www.nicomatic.com only 12 1.27mm 3A E222V12E51</t>
  </si>
  <si>
    <t>NICOMATIC: E222V12E51</t>
  </si>
  <si>
    <t>CRC32-AF2DF941</t>
  </si>
  <si>
    <t>L1</t>
  </si>
  <si>
    <t>3.3uH Inductor 5.5A 0.0166Ohm 80V XGL4040-332MEC</t>
  </si>
  <si>
    <t>COILCRAFT: XGL4040-332MEC, Digi-Key: 4652-XGL4040-332MEC-ND</t>
  </si>
  <si>
    <t>CRC32-40839710</t>
  </si>
  <si>
    <t>L2</t>
  </si>
  <si>
    <t>1uH Inductor 9.3A 0.0056Ohm 80V XGL4040-102MEC</t>
  </si>
  <si>
    <t>COILCRAFT: XGL4040-102MEC, Digi-Key: 4652-XGL4040-102MEC-ND</t>
  </si>
  <si>
    <t>CRC32-93E11FE4</t>
  </si>
  <si>
    <t>Q1</t>
  </si>
  <si>
    <t>DMP4013LFG-7 P-CH Mosfet P-CH 13mOhm R(ds) 1channel DMP4013LFG-7</t>
  </si>
  <si>
    <t>DIODES INC: DMP4013LFG-7, Digi-Key: DMP4013LFG-7DITR-ND</t>
  </si>
  <si>
    <t>DMP4013LFG-7</t>
  </si>
  <si>
    <t>3405200</t>
  </si>
  <si>
    <t>CRC32-7E1F6893</t>
  </si>
  <si>
    <t>R2, R3, R6</t>
  </si>
  <si>
    <t>15K Resistor 50V 63mW 1% (+/-) sm0402_H</t>
  </si>
  <si>
    <t>Vishay: CRCW040215K0FKED, Farnell: 1469683</t>
  </si>
  <si>
    <t>CRCW040215K0FKED</t>
  </si>
  <si>
    <t>1469683</t>
  </si>
  <si>
    <t>CRC32-5D8CC653</t>
  </si>
  <si>
    <t>R5</t>
  </si>
  <si>
    <t>140K Resistor 75V 63mW 0.1% (+/-) sm0402_H</t>
  </si>
  <si>
    <t>TE Connectivity: RP73PF1E140KBTD, Digi-Key: A127525TR-ND</t>
  </si>
  <si>
    <t>RP73PF1E140KBTD</t>
  </si>
  <si>
    <t>A127525CT-ND</t>
  </si>
  <si>
    <t>CRC32-377DB61F</t>
  </si>
  <si>
    <t>R8</t>
  </si>
  <si>
    <t>3.3K Resistor 75V 100mW 1% (+/-) SM0603_H_055</t>
  </si>
  <si>
    <t>Vishay: CRCW06033K30FKEA, Farnell: 1469793</t>
  </si>
  <si>
    <t>CRCW06033K30FKEA</t>
  </si>
  <si>
    <t>1469793</t>
  </si>
  <si>
    <t>CRC32-C9EA3965</t>
  </si>
  <si>
    <t>R9</t>
  </si>
  <si>
    <t>53.6K Resistor 50V 63mW 0.1% (+/-) sm0402_h</t>
  </si>
  <si>
    <t>PANASONIC: ERA-2AEB5362X, Digi-Key: P53.6KDCCT-ND</t>
  </si>
  <si>
    <t>ERA2AEB5362X</t>
  </si>
  <si>
    <t>2563621</t>
  </si>
  <si>
    <t>CRC32-95CB1EAF</t>
  </si>
  <si>
    <t>R10</t>
  </si>
  <si>
    <t>10.2K Resistor 75V 63mW 0.1% (+/-) sm0402_H</t>
  </si>
  <si>
    <t>PANASONIC: ERA-2ARB1022X, Digi-Key: P17920TR-ND</t>
  </si>
  <si>
    <t>ERA-2ARB1022X</t>
  </si>
  <si>
    <t>P17920CT-ND</t>
  </si>
  <si>
    <t>CRC32-B00FE212</t>
  </si>
  <si>
    <t>R11</t>
  </si>
  <si>
    <t>10K Resistor 50V 100mW 0.1% () sm0402_H</t>
  </si>
  <si>
    <t>TE Connectivity: RP73PF1E10KBTD, Farnell: 2838469</t>
  </si>
  <si>
    <t>RP73PF1E10KBTD</t>
  </si>
  <si>
    <t>2838469</t>
  </si>
  <si>
    <t>CRC32-189CD078</t>
  </si>
  <si>
    <t>U1</t>
  </si>
  <si>
    <t>LT8650SEV#TRPBF Dual Buck Regulator IC 8A 3 - 42V(in) 0.8 - 42V(out) LT8650SEV#TRPBF</t>
  </si>
  <si>
    <t>Analog Devices: LT8650SEV#TRPBF, Digi-Key: 505-LT8650SEV#TRPBFCT-ND</t>
  </si>
  <si>
    <t>LT8650SEV#TRPBF</t>
  </si>
  <si>
    <t>505-LT8650SEV#TRPBFCT-ND</t>
  </si>
  <si>
    <t>General Information</t>
  </si>
  <si>
    <t>Overview</t>
  </si>
  <si>
    <t>Format Check</t>
  </si>
  <si>
    <t>Format Baskets</t>
  </si>
  <si>
    <t>Purhcasing</t>
  </si>
  <si>
    <t>Price Breakdown</t>
  </si>
  <si>
    <t>Stats</t>
  </si>
  <si>
    <t>Project Name:</t>
  </si>
  <si>
    <t>Production Qty:</t>
  </si>
  <si>
    <t>Buyer:</t>
  </si>
  <si>
    <t>Lines:</t>
  </si>
  <si>
    <t>Part</t>
  </si>
  <si>
    <t>Info / Issue</t>
  </si>
  <si>
    <t>Action</t>
  </si>
  <si>
    <t>Formatting</t>
  </si>
  <si>
    <t>Purchasing</t>
  </si>
  <si>
    <t>ERP Import update</t>
  </si>
  <si>
    <t>Print</t>
  </si>
  <si>
    <t>Line Colour</t>
  </si>
  <si>
    <t>Red (Standard)</t>
  </si>
  <si>
    <t>Orange (Standard)</t>
  </si>
  <si>
    <t>Yellow (Standard)</t>
  </si>
  <si>
    <t>Olive green, Accent 3, Lighter 40%</t>
  </si>
  <si>
    <t>Light Blue (Standard)</t>
  </si>
  <si>
    <t>White, Background 1, Darker 50%</t>
  </si>
  <si>
    <t>Alternative</t>
  </si>
  <si>
    <t>Empty</t>
  </si>
  <si>
    <t>Free Issue</t>
  </si>
  <si>
    <t>Stock</t>
  </si>
  <si>
    <t>Long Lead</t>
  </si>
  <si>
    <t>DNF</t>
  </si>
  <si>
    <t>Based on alternative in notes column</t>
  </si>
  <si>
    <t>Based on no part in part purchased column</t>
  </si>
  <si>
    <t>Based on consigned being true</t>
  </si>
  <si>
    <t>Based on distributor as stock or location</t>
  </si>
  <si>
    <t>Based on long lead in notes column</t>
  </si>
  <si>
    <t>Based on DNF in notes column</t>
  </si>
  <si>
    <t>QAR__ issue__ August 2019</t>
  </si>
  <si>
    <t>Qty check</t>
  </si>
  <si>
    <t>MPN check</t>
  </si>
  <si>
    <t>SPN check</t>
  </si>
  <si>
    <t>MPN or SPN</t>
  </si>
  <si>
    <t>Check</t>
  </si>
  <si>
    <t>Approved</t>
  </si>
  <si>
    <t>Price on attrition</t>
  </si>
  <si>
    <t>Far</t>
  </si>
  <si>
    <t>Dig</t>
  </si>
  <si>
    <t>Macro</t>
  </si>
  <si>
    <t>Download basket into an excel file making sure all parts line up with BOM then copy and paste into this cell</t>
  </si>
  <si>
    <t>Exported on:</t>
  </si>
  <si>
    <t>Current Rev</t>
  </si>
  <si>
    <t>Revision</t>
  </si>
  <si>
    <t>Purchaser</t>
  </si>
  <si>
    <t>Parts Changed/Added</t>
  </si>
  <si>
    <t>Date</t>
  </si>
  <si>
    <t>A</t>
  </si>
  <si>
    <t>N/A</t>
  </si>
  <si>
    <t>Mou</t>
  </si>
  <si>
    <t>FarB</t>
  </si>
  <si>
    <t>DigB</t>
  </si>
  <si>
    <t>MouB</t>
  </si>
  <si>
    <t>Dict</t>
  </si>
  <si>
    <t>Debug</t>
  </si>
  <si>
    <t>Version</t>
  </si>
  <si>
    <t>0.7.7</t>
  </si>
  <si>
    <t>PI_List</t>
  </si>
  <si>
    <t>PI_Buttons</t>
  </si>
  <si>
    <t>PI_Dates</t>
  </si>
  <si>
    <t>PI_Checks</t>
  </si>
  <si>
    <t>PI_Show</t>
  </si>
  <si>
    <t>BH_Check</t>
  </si>
  <si>
    <t>PI_Price</t>
  </si>
  <si>
    <t>Qty</t>
  </si>
  <si>
    <t>Supplier</t>
  </si>
  <si>
    <t>Build</t>
  </si>
  <si>
    <t>Order</t>
  </si>
  <si>
    <t>Unit(£)</t>
  </si>
  <si>
    <t>Total(£)</t>
  </si>
  <si>
    <t>Digi-key</t>
  </si>
  <si>
    <t>Supplier1</t>
  </si>
  <si>
    <t>Supplier2</t>
  </si>
  <si>
    <t>Other</t>
  </si>
  <si>
    <t>Delivery</t>
  </si>
  <si>
    <t>Discount</t>
  </si>
  <si>
    <t>Attrition price %</t>
  </si>
  <si>
    <t>Total Purchased (BOM)</t>
  </si>
  <si>
    <t>Estimated Profit/Loss</t>
  </si>
  <si>
    <t>Wioletta Cendrowska</t>
  </si>
  <si>
    <t>1st Buy</t>
  </si>
  <si>
    <t>2nd Buy</t>
  </si>
  <si>
    <t>PO's</t>
  </si>
  <si>
    <t>Quest</t>
  </si>
  <si>
    <t>Supplier3</t>
  </si>
  <si>
    <t>Supplier4</t>
  </si>
  <si>
    <t>Supplier5</t>
  </si>
  <si>
    <t>Supplier BOM Prices</t>
  </si>
  <si>
    <t>BOM Price</t>
  </si>
  <si>
    <t>Price Difference</t>
  </si>
  <si>
    <t>Job Number</t>
  </si>
  <si>
    <t>Lines</t>
  </si>
  <si>
    <t>Total Spent</t>
  </si>
  <si>
    <t>Build Profit</t>
  </si>
  <si>
    <t>Build Loss</t>
  </si>
  <si>
    <t>Additional Discount</t>
  </si>
  <si>
    <t>Purchasing Information</t>
  </si>
  <si>
    <t>To Check</t>
  </si>
  <si>
    <t>Quoted PPB</t>
  </si>
  <si>
    <t>PPB</t>
  </si>
  <si>
    <t>Quoted Total</t>
  </si>
  <si>
    <t>Total (BOM)</t>
  </si>
  <si>
    <t>Basket</t>
  </si>
  <si>
    <t>MPN/SPN</t>
  </si>
  <si>
    <t>Attrition</t>
  </si>
  <si>
    <t>Attrition Price %</t>
  </si>
  <si>
    <t>Price on Attrition</t>
  </si>
  <si>
    <t>'Quoted PPB' to 'PPB'</t>
  </si>
  <si>
    <t>'Quoted Total' to 'Total'</t>
  </si>
  <si>
    <t>'Total calculated' to 'Basket'</t>
  </si>
  <si>
    <t>Basket Prices</t>
  </si>
  <si>
    <r>
      <t xml:space="preserve">Insert basket prices into this table (only fill in 2nd buy if buying from a supplier for a second time for this buy). </t>
    </r>
    <r>
      <rPr>
        <b/>
        <sz val="10"/>
        <color rgb="FFFF0000"/>
        <rFont val="Arial"/>
        <family val="2"/>
      </rPr>
      <t>Put in relevant PO's for each basket purchase.</t>
    </r>
  </si>
  <si>
    <r>
      <t xml:space="preserve">These two prices should be the same. If not then the </t>
    </r>
    <r>
      <rPr>
        <b/>
        <sz val="10"/>
        <color rgb="FFFF0000"/>
        <rFont val="Arial"/>
        <family val="2"/>
      </rPr>
      <t>unit</t>
    </r>
    <r>
      <rPr>
        <b/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price</t>
    </r>
    <r>
      <rPr>
        <b/>
        <sz val="10"/>
        <rFont val="Arial"/>
        <family val="2"/>
      </rPr>
      <t xml:space="preserve"> or </t>
    </r>
    <r>
      <rPr>
        <b/>
        <sz val="10"/>
        <color rgb="FFFF0000"/>
        <rFont val="Arial"/>
        <family val="2"/>
      </rPr>
      <t>order qty</t>
    </r>
    <r>
      <rPr>
        <b/>
        <sz val="10"/>
        <rFont val="Arial"/>
        <family val="2"/>
      </rPr>
      <t xml:space="preserve"> needs to be changed on the BOM so the calculations match!</t>
    </r>
  </si>
  <si>
    <r>
      <t xml:space="preserve">Copy this line and paste it into the purchasing KPI using </t>
    </r>
    <r>
      <rPr>
        <b/>
        <sz val="12"/>
        <color rgb="FFFF0000"/>
        <rFont val="Arial"/>
        <family val="2"/>
      </rPr>
      <t>CTRL+ALT+V</t>
    </r>
    <r>
      <rPr>
        <b/>
        <sz val="12"/>
        <rFont val="Arial"/>
        <family val="2"/>
      </rPr>
      <t xml:space="preserve"> and then paste </t>
    </r>
    <r>
      <rPr>
        <b/>
        <sz val="12"/>
        <color rgb="FFFF0000"/>
        <rFont val="Arial"/>
        <family val="2"/>
      </rPr>
      <t>Values</t>
    </r>
    <r>
      <rPr>
        <b/>
        <sz val="12"/>
        <rFont val="Arial"/>
        <family val="2"/>
      </rPr>
      <t xml:space="preserve"> only</t>
    </r>
  </si>
  <si>
    <t>1.PO
2.PO</t>
  </si>
  <si>
    <t>Approved by:</t>
  </si>
  <si>
    <t>P</t>
  </si>
  <si>
    <t>C</t>
  </si>
  <si>
    <t>F</t>
  </si>
  <si>
    <t>FIN</t>
  </si>
  <si>
    <t>FAR001</t>
  </si>
  <si>
    <t>DIGIKEY</t>
  </si>
  <si>
    <t>MPN or SPN Check</t>
  </si>
  <si>
    <t>False Match</t>
  </si>
  <si>
    <t>Exact</t>
  </si>
  <si>
    <t>Order More</t>
  </si>
  <si>
    <t>Difference</t>
  </si>
  <si>
    <t>Qty/Unit</t>
  </si>
  <si>
    <t>Part Number Description</t>
  </si>
  <si>
    <t>Delivery Date</t>
  </si>
  <si>
    <t>Ext Price</t>
  </si>
  <si>
    <t>VAT</t>
  </si>
  <si>
    <t>Delivery Charge</t>
  </si>
  <si>
    <t>Total(PO)</t>
  </si>
  <si>
    <t>Total(Basket)</t>
  </si>
  <si>
    <t>ASAP</t>
  </si>
  <si>
    <t>Suppliers</t>
  </si>
  <si>
    <t>Count</t>
  </si>
  <si>
    <t>EAS22314</t>
  </si>
  <si>
    <t>XGL4040-102MEC</t>
  </si>
  <si>
    <t>Coilcraft</t>
  </si>
  <si>
    <t>XGL4040-332MEC</t>
  </si>
  <si>
    <t>ITEM: 1</t>
  </si>
  <si>
    <t>ITEM: 2</t>
  </si>
  <si>
    <t>ITEM: 3</t>
  </si>
  <si>
    <t>ITEM: 4</t>
  </si>
  <si>
    <t>ITEM: 5</t>
  </si>
  <si>
    <t>ITEM: 7</t>
  </si>
  <si>
    <t>ITEM: 8</t>
  </si>
  <si>
    <t>ITEM: 12</t>
  </si>
  <si>
    <t>ITEM: 13</t>
  </si>
  <si>
    <t>ITEM: 15</t>
  </si>
  <si>
    <t>ITEM: 16</t>
  </si>
  <si>
    <t>ITEM: 18</t>
  </si>
  <si>
    <t>ITEM: 6</t>
  </si>
  <si>
    <t>ITEM: 14</t>
  </si>
  <si>
    <t>ITEM: 17</t>
  </si>
  <si>
    <t>ITEM: 19</t>
  </si>
  <si>
    <t>Nicomatic</t>
  </si>
  <si>
    <t>E222V12E51</t>
  </si>
  <si>
    <t>RoHS: YES / PHTHALATES: YES</t>
  </si>
  <si>
    <t>MURATA</t>
  </si>
  <si>
    <t>MURATA  SMD Multilayer Ceramic Capacitor, 4.7 ÂµF, 50 V, 0805 [2012 Metric], Â± 10%, X7R, GRM Series</t>
  </si>
  <si>
    <t>MURATA  SMD Multilayer Ceramic Capacitor, 10000 pF, 50 V, 0402 [1005 Metric], Â± 5%, X7R, GRM Series</t>
  </si>
  <si>
    <t>MURATA  SMD Multilayer Ceramic Capacitor, 2.2 ÂµF, 16 V, 0402 [1005 Metric], Â± 20%, X7T, GRM Series</t>
  </si>
  <si>
    <t>KEMET</t>
  </si>
  <si>
    <t>KEMET  SMD Multilayer Ceramic Capacitor, 220 pF, 50 V, 0402 [1005 Metric], Â± 5%, C0G / NP0, C Series KEMET</t>
  </si>
  <si>
    <t>TDK</t>
  </si>
  <si>
    <t>TDK  SMD Multilayer Ceramic Capacitor, 0.1 ÂµF, 50 V, 0402 [1005 Metric], Â± 10%, X7R, C</t>
  </si>
  <si>
    <t>KEMET  SMD Multilayer Ceramic Capacitor, 4.7 pF, 50 V, 0402 [1005 Metric], Â± 0.25pF, C0G / NP0</t>
  </si>
  <si>
    <t>ONSEMI</t>
  </si>
  <si>
    <t>ONSEMI  Zener Single Diode, 10 V, 500 mW, SOD-123, 2 Pins, 150 Â°C, Surface Mount</t>
  </si>
  <si>
    <t>DIODES INC.</t>
  </si>
  <si>
    <t>DIODES INC.  Power MOSFET, P Channel, 40 V, 10.3 A, 0.0094 ohm, PowerDI 3333, Surface Mount</t>
  </si>
  <si>
    <t>RoHS: Y-EX / PHTHALATES: YES</t>
  </si>
  <si>
    <t>VISHAY</t>
  </si>
  <si>
    <t>VISHAY  SMD Chip Resistor, 15 kohm, Â± 1%, 62.5 mW, 0402 [1005 Metric], Thick Film, General Purpose</t>
  </si>
  <si>
    <t>VISHAY  SMD Chip Resistor, 3.3 kohm, Â± 1%, 100 mW, 0603 [1608 Metric], Thick Film, General Purpose</t>
  </si>
  <si>
    <t>PANASONIC</t>
  </si>
  <si>
    <t>PANASONIC  SMD Chip Resistor, 53.6 kohm, Â± 0.1%, 62.5 mW, 0402 [1005 Metric], Metal Film (Thin Film)</t>
  </si>
  <si>
    <t>TE CONNECTIVITY</t>
  </si>
  <si>
    <t>TE CONNECTIVITY  SMD Chip Resistor, 10 kohm, Â± 0.1%, 100 mW, 0402 [1005 Metric], Thin Film, High Power</t>
  </si>
  <si>
    <t>Sub Total</t>
  </si>
  <si>
    <t>Goods Total</t>
  </si>
  <si>
    <t>CAP CER 22UF 16V X7R 1206</t>
  </si>
  <si>
    <t>RES 140K OHM 0.1% 1/10W 0402</t>
  </si>
  <si>
    <t>RES SMD 10.2KOHM 0.1% 1/16W 0402</t>
  </si>
  <si>
    <t>2X CH 4A, 42V, SYNC BUCK SILENT</t>
  </si>
  <si>
    <t>These MPNs are in the BOM but not the Basket</t>
  </si>
  <si>
    <t>These MPNs are in the Basket but not the BOM</t>
  </si>
  <si>
    <t>=R4C10</t>
  </si>
  <si>
    <t>1.PO082537 EAS22314
2.PO</t>
  </si>
  <si>
    <t>1.PO082538 EAS22314
2.PO</t>
  </si>
  <si>
    <t>1.PO082540 EAS22314
2.PO</t>
  </si>
  <si>
    <t>1.PO082539 EAS22314
2.PO</t>
  </si>
  <si>
    <t>ipn</t>
  </si>
  <si>
    <t>reference</t>
  </si>
  <si>
    <t>10000 pF ±5% 50V X7R 0402 (1005 Metric)</t>
  </si>
  <si>
    <t>2.2 µF ±20% 16V X7T 0402 (1005 Metric)</t>
  </si>
  <si>
    <t>22 µF ±20% 16V X7R 1206 (3216 Metric)</t>
  </si>
  <si>
    <t>IND 3.3µH 8.7A 16.6mOhm Max 1616 4x4x4.1</t>
  </si>
  <si>
    <t>IND 1µH 14.8A 5.6mOhm Max 1616 4x4x4.1</t>
  </si>
  <si>
    <t>MOSFET P-CH 40V 10.3A 8PWRDI 3.3x3.3x0.8</t>
  </si>
  <si>
    <t>RES SMD 53.6KOHM 0.1% 1/16W 0402</t>
  </si>
  <si>
    <t>IC 0.8V 2 Output 4A 32-TFQFN 6x4</t>
  </si>
  <si>
    <t>EMM 220 Female 90° on PCB, 12POS</t>
  </si>
  <si>
    <t>R1</t>
  </si>
  <si>
    <t>R12</t>
  </si>
  <si>
    <t>R4</t>
  </si>
  <si>
    <t>R7</t>
  </si>
  <si>
    <t>Not 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</si>
</sst>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5" formatCode="0.0%"/>
    <numFmt numFmtId="166" formatCode="\£#,##0.00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MS Sans Serif"/>
      <family val="2"/>
    </font>
    <font>
      <b/>
      <sz val="10"/>
      <color rgb="FFFF0000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48"/>
      <name val="Arial"/>
      <family val="2"/>
    </font>
    <font>
      <b/>
      <sz val="48"/>
      <name val="Arial"/>
      <family val="2"/>
    </font>
    <font>
      <sz val="26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36"/>
      <name val="Arial"/>
      <family val="2"/>
    </font>
    <font>
      <sz val="28"/>
      <name val="Arial"/>
      <family val="2"/>
    </font>
    <font>
      <sz val="60"/>
      <name val="Arial"/>
      <family val="2"/>
    </font>
    <font>
      <b/>
      <sz val="26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000000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lightGray">
        <fgColor theme="3" tint="0.79995117038483843"/>
        <bgColor indexed="65"/>
      </patternFill>
    </fill>
    <fill>
      <patternFill patternType="gray125">
        <fgColor theme="3" tint="0.79995117038483843"/>
        <bgColor indexed="65"/>
      </patternFill>
    </fill>
    <fill>
      <patternFill patternType="gray125">
        <fgColor theme="3" tint="0.79992065187536243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Gray">
        <fgColor theme="3" tint="0.79995117038483843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9"/>
      </right>
      <top/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9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9"/>
      </top>
      <bottom/>
      <diagonal/>
    </border>
    <border>
      <left/>
      <right style="thin">
        <color indexed="64"/>
      </right>
      <top style="thin">
        <color indexed="9"/>
      </top>
      <bottom/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/>
      <diagonal/>
    </border>
    <border>
      <left style="thin">
        <color indexed="64"/>
      </left>
      <right/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9" fillId="0" borderId="0"/>
  </cellStyleXfs>
  <cellXfs count="372">
    <xf numFmtId="0" fontId="0" fillId="0" borderId="0" xfId="0"/>
    <xf numFmtId="0" fontId="2" fillId="0" borderId="0" xfId="0" applyFont="1"/>
    <xf numFmtId="0" fontId="0" fillId="0" borderId="9" xfId="0" applyBorder="1"/>
    <xf numFmtId="49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top"/>
    </xf>
    <xf numFmtId="0" fontId="0" fillId="0" borderId="63" xfId="0" applyBorder="1" applyAlignment="1">
      <alignment horizontal="center" vertical="top"/>
    </xf>
    <xf numFmtId="0" fontId="1" fillId="10" borderId="30" xfId="0" applyFont="1" applyFill="1" applyBorder="1" applyAlignment="1">
      <alignment horizontal="center" vertical="top"/>
    </xf>
    <xf numFmtId="0" fontId="1" fillId="10" borderId="67" xfId="0" applyFont="1" applyFill="1" applyBorder="1" applyAlignment="1">
      <alignment horizontal="center" vertical="top"/>
    </xf>
    <xf numFmtId="0" fontId="1" fillId="10" borderId="29" xfId="0" applyFont="1" applyFill="1" applyBorder="1" applyAlignment="1">
      <alignment horizontal="center" vertical="top"/>
    </xf>
    <xf numFmtId="0" fontId="1" fillId="10" borderId="60" xfId="0" applyFont="1" applyFill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0" borderId="16" xfId="0" applyBorder="1" applyAlignment="1">
      <alignment horizontal="center" vertical="top"/>
    </xf>
    <xf numFmtId="0" fontId="0" fillId="0" borderId="9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14" fontId="0" fillId="0" borderId="66" xfId="0" applyNumberFormat="1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14" fontId="0" fillId="0" borderId="17" xfId="0" applyNumberFormat="1" applyBorder="1" applyAlignment="1">
      <alignment horizontal="center" vertical="top"/>
    </xf>
    <xf numFmtId="0" fontId="0" fillId="0" borderId="63" xfId="0" applyBorder="1" applyAlignment="1">
      <alignment horizontal="left" vertical="top" wrapText="1"/>
    </xf>
    <xf numFmtId="0" fontId="1" fillId="0" borderId="65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" fillId="0" borderId="79" xfId="0" applyFont="1" applyBorder="1" applyAlignment="1">
      <alignment horizontal="center" vertical="center"/>
    </xf>
    <xf numFmtId="0" fontId="25" fillId="10" borderId="88" xfId="0" applyFont="1" applyFill="1" applyBorder="1" applyAlignment="1">
      <alignment horizontal="right" vertical="center"/>
    </xf>
    <xf numFmtId="49" fontId="17" fillId="10" borderId="107" xfId="0" applyNumberFormat="1" applyFont="1" applyFill="1" applyBorder="1" applyAlignment="1">
      <alignment horizontal="center" vertical="center"/>
    </xf>
    <xf numFmtId="14" fontId="26" fillId="0" borderId="85" xfId="0" applyNumberFormat="1" applyFont="1" applyBorder="1" applyAlignment="1">
      <alignment horizontal="center" vertical="center"/>
    </xf>
    <xf numFmtId="49" fontId="26" fillId="0" borderId="64" xfId="0" applyNumberFormat="1" applyFont="1" applyBorder="1" applyAlignment="1">
      <alignment horizontal="center" vertical="center"/>
    </xf>
    <xf numFmtId="0" fontId="26" fillId="0" borderId="64" xfId="0" applyFont="1" applyBorder="1" applyAlignment="1">
      <alignment horizontal="center" vertical="center"/>
    </xf>
    <xf numFmtId="164" fontId="26" fillId="0" borderId="64" xfId="0" applyNumberFormat="1" applyFont="1" applyBorder="1" applyAlignment="1">
      <alignment horizontal="center" vertical="center"/>
    </xf>
    <xf numFmtId="164" fontId="26" fillId="0" borderId="91" xfId="0" applyNumberFormat="1" applyFont="1" applyBorder="1" applyAlignment="1">
      <alignment horizontal="center" vertical="center"/>
    </xf>
    <xf numFmtId="0" fontId="21" fillId="10" borderId="86" xfId="0" applyFont="1" applyFill="1" applyBorder="1" applyAlignment="1">
      <alignment horizontal="center" vertical="center"/>
    </xf>
    <xf numFmtId="0" fontId="21" fillId="10" borderId="87" xfId="0" applyFont="1" applyFill="1" applyBorder="1" applyAlignment="1">
      <alignment horizontal="center" vertical="center"/>
    </xf>
    <xf numFmtId="0" fontId="21" fillId="10" borderId="90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27" fillId="17" borderId="28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17" borderId="19" xfId="0" applyFont="1" applyFill="1" applyBorder="1" applyAlignment="1">
      <alignment horizontal="center" vertical="center"/>
    </xf>
    <xf numFmtId="0" fontId="27" fillId="0" borderId="102" xfId="0" applyFont="1" applyBorder="1" applyAlignment="1">
      <alignment horizontal="center" vertical="center"/>
    </xf>
    <xf numFmtId="0" fontId="27" fillId="17" borderId="71" xfId="0" applyFont="1" applyFill="1" applyBorder="1" applyAlignment="1">
      <alignment horizontal="center" vertical="center"/>
    </xf>
    <xf numFmtId="0" fontId="27" fillId="17" borderId="72" xfId="0" applyFont="1" applyFill="1" applyBorder="1" applyAlignment="1">
      <alignment horizontal="center" vertical="center"/>
    </xf>
    <xf numFmtId="0" fontId="27" fillId="17" borderId="82" xfId="0" applyFont="1" applyFill="1" applyBorder="1" applyAlignment="1">
      <alignment horizontal="center" vertical="center"/>
    </xf>
    <xf numFmtId="164" fontId="19" fillId="0" borderId="61" xfId="0" applyNumberFormat="1" applyFont="1" applyBorder="1" applyAlignment="1">
      <alignment horizontal="center" vertical="center"/>
    </xf>
    <xf numFmtId="164" fontId="19" fillId="0" borderId="70" xfId="0" applyNumberFormat="1" applyFont="1" applyBorder="1" applyAlignment="1">
      <alignment horizontal="center" vertical="center"/>
    </xf>
    <xf numFmtId="164" fontId="19" fillId="0" borderId="45" xfId="0" applyNumberFormat="1" applyFont="1" applyBorder="1" applyAlignment="1">
      <alignment horizontal="center" vertical="center"/>
    </xf>
    <xf numFmtId="164" fontId="19" fillId="0" borderId="84" xfId="0" applyNumberFormat="1" applyFont="1" applyBorder="1" applyAlignment="1">
      <alignment horizontal="center" vertical="center"/>
    </xf>
    <xf numFmtId="164" fontId="19" fillId="0" borderId="78" xfId="0" applyNumberFormat="1" applyFont="1" applyBorder="1" applyAlignment="1">
      <alignment horizontal="center" vertical="center"/>
    </xf>
    <xf numFmtId="164" fontId="19" fillId="0" borderId="79" xfId="0" applyNumberFormat="1" applyFont="1" applyBorder="1" applyAlignment="1">
      <alignment horizontal="center" vertical="center"/>
    </xf>
    <xf numFmtId="0" fontId="19" fillId="6" borderId="81" xfId="0" applyFont="1" applyFill="1" applyBorder="1" applyAlignment="1">
      <alignment horizontal="center" vertical="center"/>
    </xf>
    <xf numFmtId="0" fontId="19" fillId="6" borderId="28" xfId="0" applyFont="1" applyFill="1" applyBorder="1" applyAlignment="1">
      <alignment horizontal="center" vertical="center"/>
    </xf>
    <xf numFmtId="0" fontId="19" fillId="6" borderId="83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1" fillId="0" borderId="84" xfId="0" applyFont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left" vertical="center"/>
    </xf>
    <xf numFmtId="166" fontId="0" fillId="0" borderId="9" xfId="0" applyNumberFormat="1" applyBorder="1" applyAlignment="1">
      <alignment horizontal="center" vertical="center"/>
    </xf>
    <xf numFmtId="166" fontId="0" fillId="0" borderId="62" xfId="0" applyNumberFormat="1" applyBorder="1" applyAlignment="1">
      <alignment horizontal="center" vertical="center"/>
    </xf>
    <xf numFmtId="0" fontId="8" fillId="16" borderId="5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0" fontId="29" fillId="0" borderId="0" xfId="1"/>
    <xf numFmtId="1" fontId="29" fillId="0" borderId="0" xfId="1" applyNumberFormat="1"/>
    <xf numFmtId="2" fontId="29" fillId="0" borderId="0" xfId="1" applyNumberFormat="1"/>
    <xf numFmtId="0" fontId="2" fillId="0" borderId="16" xfId="0" applyFont="1" applyBorder="1" applyAlignment="1">
      <alignment horizontal="left" vertical="center" wrapText="1"/>
    </xf>
    <xf numFmtId="49" fontId="31" fillId="12" borderId="110" xfId="0" applyNumberFormat="1" applyFont="1" applyFill="1" applyBorder="1" applyAlignment="1">
      <alignment vertical="center" wrapText="1"/>
    </xf>
    <xf numFmtId="164" fontId="21" fillId="4" borderId="6" xfId="0" applyNumberFormat="1" applyFont="1" applyFill="1" applyBorder="1" applyAlignment="1">
      <alignment horizontal="center" vertical="center"/>
    </xf>
    <xf numFmtId="164" fontId="21" fillId="4" borderId="8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0" xfId="0" applyNumberFormat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47" xfId="0" applyFont="1" applyFill="1" applyBorder="1" applyAlignment="1">
      <alignment horizontal="center" vertical="center"/>
    </xf>
    <xf numFmtId="0" fontId="19" fillId="7" borderId="40" xfId="0" applyFont="1" applyFill="1" applyBorder="1" applyAlignment="1">
      <alignment horizontal="center" vertical="center"/>
    </xf>
    <xf numFmtId="0" fontId="19" fillId="7" borderId="44" xfId="0" applyFont="1" applyFill="1" applyBorder="1" applyAlignment="1">
      <alignment horizontal="center" vertical="center"/>
    </xf>
    <xf numFmtId="0" fontId="19" fillId="7" borderId="48" xfId="0" applyFont="1" applyFill="1" applyBorder="1" applyAlignment="1">
      <alignment horizontal="center" vertical="center"/>
    </xf>
    <xf numFmtId="164" fontId="16" fillId="4" borderId="6" xfId="0" applyNumberFormat="1" applyFont="1" applyFill="1" applyBorder="1" applyAlignment="1">
      <alignment horizontal="center" vertical="center"/>
    </xf>
    <xf numFmtId="164" fontId="16" fillId="4" borderId="44" xfId="0" applyNumberFormat="1" applyFont="1" applyFill="1" applyBorder="1" applyAlignment="1">
      <alignment horizontal="center" vertical="center"/>
    </xf>
    <xf numFmtId="164" fontId="16" fillId="4" borderId="8" xfId="0" applyNumberFormat="1" applyFont="1" applyFill="1" applyBorder="1" applyAlignment="1">
      <alignment horizontal="center" vertical="center"/>
    </xf>
    <xf numFmtId="164" fontId="16" fillId="4" borderId="42" xfId="0" applyNumberFormat="1" applyFont="1" applyFill="1" applyBorder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/>
    </xf>
    <xf numFmtId="164" fontId="16" fillId="4" borderId="25" xfId="0" applyNumberFormat="1" applyFont="1" applyFill="1" applyBorder="1" applyAlignment="1">
      <alignment horizontal="center" vertical="center"/>
    </xf>
    <xf numFmtId="164" fontId="16" fillId="4" borderId="47" xfId="0" applyNumberFormat="1" applyFont="1" applyFill="1" applyBorder="1" applyAlignment="1">
      <alignment horizontal="center" vertical="center"/>
    </xf>
    <xf numFmtId="164" fontId="16" fillId="4" borderId="48" xfId="0" applyNumberFormat="1" applyFont="1" applyFill="1" applyBorder="1" applyAlignment="1">
      <alignment horizontal="center" vertical="center"/>
    </xf>
    <xf numFmtId="164" fontId="16" fillId="4" borderId="40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47" xfId="0" applyFont="1" applyFill="1" applyBorder="1" applyAlignment="1">
      <alignment horizontal="center" vertical="center"/>
    </xf>
    <xf numFmtId="0" fontId="9" fillId="7" borderId="48" xfId="0" applyFont="1" applyFill="1" applyBorder="1" applyAlignment="1">
      <alignment horizontal="center" vertical="center"/>
    </xf>
    <xf numFmtId="0" fontId="9" fillId="7" borderId="40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47" xfId="0" applyFont="1" applyFill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center"/>
    </xf>
    <xf numFmtId="0" fontId="10" fillId="6" borderId="40" xfId="0" applyFont="1" applyFill="1" applyBorder="1" applyAlignment="1">
      <alignment horizontal="center" vertical="center"/>
    </xf>
    <xf numFmtId="164" fontId="23" fillId="4" borderId="6" xfId="0" applyNumberFormat="1" applyFont="1" applyFill="1" applyBorder="1" applyAlignment="1">
      <alignment horizontal="center" vertical="center"/>
    </xf>
    <xf numFmtId="164" fontId="23" fillId="4" borderId="44" xfId="0" applyNumberFormat="1" applyFont="1" applyFill="1" applyBorder="1" applyAlignment="1">
      <alignment horizontal="center" vertical="center"/>
    </xf>
    <xf numFmtId="164" fontId="23" fillId="4" borderId="8" xfId="0" applyNumberFormat="1" applyFont="1" applyFill="1" applyBorder="1" applyAlignment="1">
      <alignment horizontal="center" vertical="center"/>
    </xf>
    <xf numFmtId="164" fontId="23" fillId="4" borderId="42" xfId="0" applyNumberFormat="1" applyFont="1" applyFill="1" applyBorder="1" applyAlignment="1">
      <alignment horizontal="center" vertical="center"/>
    </xf>
    <xf numFmtId="164" fontId="23" fillId="4" borderId="0" xfId="0" applyNumberFormat="1" applyFont="1" applyFill="1" applyAlignment="1">
      <alignment horizontal="center" vertical="center"/>
    </xf>
    <xf numFmtId="164" fontId="23" fillId="4" borderId="25" xfId="0" applyNumberFormat="1" applyFont="1" applyFill="1" applyBorder="1" applyAlignment="1">
      <alignment horizontal="center" vertical="center"/>
    </xf>
    <xf numFmtId="164" fontId="23" fillId="4" borderId="47" xfId="0" applyNumberFormat="1" applyFont="1" applyFill="1" applyBorder="1" applyAlignment="1">
      <alignment horizontal="center" vertical="center"/>
    </xf>
    <xf numFmtId="164" fontId="23" fillId="4" borderId="48" xfId="0" applyNumberFormat="1" applyFont="1" applyFill="1" applyBorder="1" applyAlignment="1">
      <alignment horizontal="center" vertical="center"/>
    </xf>
    <xf numFmtId="164" fontId="23" fillId="4" borderId="4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2" fillId="15" borderId="13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36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49" fontId="10" fillId="9" borderId="62" xfId="0" applyNumberFormat="1" applyFont="1" applyFill="1" applyBorder="1" applyAlignment="1">
      <alignment horizontal="center" vertical="center"/>
    </xf>
    <xf numFmtId="49" fontId="10" fillId="9" borderId="63" xfId="0" applyNumberFormat="1" applyFont="1" applyFill="1" applyBorder="1" applyAlignment="1">
      <alignment horizontal="center" vertical="center"/>
    </xf>
    <xf numFmtId="49" fontId="11" fillId="9" borderId="50" xfId="0" applyNumberFormat="1" applyFont="1" applyFill="1" applyBorder="1" applyAlignment="1">
      <alignment horizontal="center" vertical="center"/>
    </xf>
    <xf numFmtId="49" fontId="11" fillId="9" borderId="43" xfId="0" applyNumberFormat="1" applyFont="1" applyFill="1" applyBorder="1" applyAlignment="1">
      <alignment horizontal="center" vertical="center"/>
    </xf>
    <xf numFmtId="49" fontId="11" fillId="9" borderId="52" xfId="0" applyNumberFormat="1" applyFont="1" applyFill="1" applyBorder="1" applyAlignment="1">
      <alignment horizontal="center" vertical="center"/>
    </xf>
    <xf numFmtId="49" fontId="11" fillId="9" borderId="51" xfId="0" applyNumberFormat="1" applyFont="1" applyFill="1" applyBorder="1" applyAlignment="1">
      <alignment horizontal="center" vertical="center"/>
    </xf>
    <xf numFmtId="49" fontId="11" fillId="9" borderId="46" xfId="0" applyNumberFormat="1" applyFont="1" applyFill="1" applyBorder="1" applyAlignment="1">
      <alignment horizontal="center" vertical="center"/>
    </xf>
    <xf numFmtId="49" fontId="11" fillId="9" borderId="49" xfId="0" applyNumberFormat="1" applyFont="1" applyFill="1" applyBorder="1" applyAlignment="1">
      <alignment horizontal="center" vertical="center"/>
    </xf>
    <xf numFmtId="0" fontId="10" fillId="9" borderId="62" xfId="0" applyFont="1" applyFill="1" applyBorder="1" applyAlignment="1">
      <alignment horizontal="center" vertical="center"/>
    </xf>
    <xf numFmtId="0" fontId="10" fillId="9" borderId="63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36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36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164" fontId="24" fillId="4" borderId="6" xfId="0" applyNumberFormat="1" applyFont="1" applyFill="1" applyBorder="1" applyAlignment="1">
      <alignment horizontal="center" vertical="center"/>
    </xf>
    <xf numFmtId="164" fontId="24" fillId="4" borderId="44" xfId="0" applyNumberFormat="1" applyFont="1" applyFill="1" applyBorder="1" applyAlignment="1">
      <alignment horizontal="center" vertical="center"/>
    </xf>
    <xf numFmtId="164" fontId="24" fillId="4" borderId="8" xfId="0" applyNumberFormat="1" applyFont="1" applyFill="1" applyBorder="1" applyAlignment="1">
      <alignment horizontal="center" vertical="center"/>
    </xf>
    <xf numFmtId="164" fontId="24" fillId="4" borderId="42" xfId="0" applyNumberFormat="1" applyFont="1" applyFill="1" applyBorder="1" applyAlignment="1">
      <alignment horizontal="center" vertical="center"/>
    </xf>
    <xf numFmtId="164" fontId="24" fillId="4" borderId="0" xfId="0" applyNumberFormat="1" applyFont="1" applyFill="1" applyAlignment="1">
      <alignment horizontal="center" vertical="center"/>
    </xf>
    <xf numFmtId="164" fontId="24" fillId="4" borderId="25" xfId="0" applyNumberFormat="1" applyFont="1" applyFill="1" applyBorder="1" applyAlignment="1">
      <alignment horizontal="center" vertical="center"/>
    </xf>
    <xf numFmtId="164" fontId="24" fillId="4" borderId="47" xfId="0" applyNumberFormat="1" applyFont="1" applyFill="1" applyBorder="1" applyAlignment="1">
      <alignment horizontal="center" vertical="center"/>
    </xf>
    <xf numFmtId="164" fontId="24" fillId="4" borderId="48" xfId="0" applyNumberFormat="1" applyFont="1" applyFill="1" applyBorder="1" applyAlignment="1">
      <alignment horizontal="center" vertical="center"/>
    </xf>
    <xf numFmtId="164" fontId="24" fillId="4" borderId="40" xfId="0" applyNumberFormat="1" applyFont="1" applyFill="1" applyBorder="1" applyAlignment="1">
      <alignment horizontal="center" vertical="center"/>
    </xf>
    <xf numFmtId="165" fontId="22" fillId="4" borderId="6" xfId="0" applyNumberFormat="1" applyFont="1" applyFill="1" applyBorder="1" applyAlignment="1">
      <alignment horizontal="center" vertical="center"/>
    </xf>
    <xf numFmtId="165" fontId="22" fillId="4" borderId="44" xfId="0" applyNumberFormat="1" applyFont="1" applyFill="1" applyBorder="1" applyAlignment="1">
      <alignment horizontal="center" vertical="center"/>
    </xf>
    <xf numFmtId="165" fontId="22" fillId="4" borderId="8" xfId="0" applyNumberFormat="1" applyFont="1" applyFill="1" applyBorder="1" applyAlignment="1">
      <alignment horizontal="center" vertical="center"/>
    </xf>
    <xf numFmtId="165" fontId="22" fillId="4" borderId="42" xfId="0" applyNumberFormat="1" applyFont="1" applyFill="1" applyBorder="1" applyAlignment="1">
      <alignment horizontal="center" vertical="center"/>
    </xf>
    <xf numFmtId="165" fontId="22" fillId="4" borderId="0" xfId="0" applyNumberFormat="1" applyFont="1" applyFill="1" applyAlignment="1">
      <alignment horizontal="center" vertical="center"/>
    </xf>
    <xf numFmtId="165" fontId="22" fillId="4" borderId="25" xfId="0" applyNumberFormat="1" applyFont="1" applyFill="1" applyBorder="1" applyAlignment="1">
      <alignment horizontal="center" vertical="center"/>
    </xf>
    <xf numFmtId="165" fontId="22" fillId="4" borderId="47" xfId="0" applyNumberFormat="1" applyFont="1" applyFill="1" applyBorder="1" applyAlignment="1">
      <alignment horizontal="center" vertical="center"/>
    </xf>
    <xf numFmtId="165" fontId="22" fillId="4" borderId="48" xfId="0" applyNumberFormat="1" applyFont="1" applyFill="1" applyBorder="1" applyAlignment="1">
      <alignment horizontal="center" vertical="center"/>
    </xf>
    <xf numFmtId="165" fontId="22" fillId="4" borderId="40" xfId="0" applyNumberFormat="1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69" xfId="0" applyFont="1" applyFill="1" applyBorder="1" applyAlignment="1">
      <alignment horizontal="center" vertical="center"/>
    </xf>
    <xf numFmtId="0" fontId="15" fillId="4" borderId="59" xfId="0" applyFont="1" applyFill="1" applyBorder="1" applyAlignment="1">
      <alignment horizontal="center" vertical="center"/>
    </xf>
    <xf numFmtId="165" fontId="9" fillId="4" borderId="7" xfId="0" applyNumberFormat="1" applyFont="1" applyFill="1" applyBorder="1" applyAlignment="1">
      <alignment horizontal="center" vertical="center"/>
    </xf>
    <xf numFmtId="165" fontId="9" fillId="4" borderId="69" xfId="0" applyNumberFormat="1" applyFont="1" applyFill="1" applyBorder="1" applyAlignment="1">
      <alignment horizontal="center" vertical="center"/>
    </xf>
    <xf numFmtId="165" fontId="9" fillId="4" borderId="59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69" xfId="0" applyFont="1" applyFill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/>
    </xf>
    <xf numFmtId="0" fontId="20" fillId="7" borderId="69" xfId="0" applyFont="1" applyFill="1" applyBorder="1" applyAlignment="1">
      <alignment horizontal="center" vertical="center"/>
    </xf>
    <xf numFmtId="0" fontId="20" fillId="7" borderId="59" xfId="0" applyFont="1" applyFill="1" applyBorder="1" applyAlignment="1">
      <alignment horizontal="center" vertical="center"/>
    </xf>
    <xf numFmtId="0" fontId="10" fillId="0" borderId="53" xfId="0" applyFont="1" applyBorder="1" applyAlignment="1">
      <alignment horizontal="right" vertical="center"/>
    </xf>
    <xf numFmtId="0" fontId="10" fillId="0" borderId="41" xfId="0" applyFont="1" applyBorder="1" applyAlignment="1">
      <alignment horizontal="right" vertical="center"/>
    </xf>
    <xf numFmtId="0" fontId="10" fillId="0" borderId="54" xfId="0" applyFont="1" applyBorder="1" applyAlignment="1">
      <alignment horizontal="right" vertical="center"/>
    </xf>
    <xf numFmtId="0" fontId="10" fillId="0" borderId="55" xfId="0" applyFont="1" applyBorder="1" applyAlignment="1">
      <alignment horizontal="right" vertical="center"/>
    </xf>
    <xf numFmtId="0" fontId="10" fillId="0" borderId="26" xfId="0" applyFont="1" applyBorder="1" applyAlignment="1">
      <alignment horizontal="right" vertical="center"/>
    </xf>
    <xf numFmtId="0" fontId="10" fillId="0" borderId="56" xfId="0" applyFont="1" applyBorder="1" applyAlignment="1">
      <alignment horizontal="right" vertical="center"/>
    </xf>
    <xf numFmtId="0" fontId="10" fillId="0" borderId="57" xfId="0" applyFont="1" applyBorder="1" applyAlignment="1">
      <alignment horizontal="right" vertical="center"/>
    </xf>
    <xf numFmtId="0" fontId="10" fillId="0" borderId="58" xfId="0" applyFont="1" applyBorder="1" applyAlignment="1">
      <alignment horizontal="right" vertical="center"/>
    </xf>
    <xf numFmtId="0" fontId="14" fillId="10" borderId="6" xfId="0" applyFont="1" applyFill="1" applyBorder="1" applyAlignment="1">
      <alignment horizontal="center" vertical="center"/>
    </xf>
    <xf numFmtId="0" fontId="14" fillId="10" borderId="44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0" borderId="42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48" xfId="0" applyFont="1" applyFill="1" applyBorder="1" applyAlignment="1">
      <alignment horizontal="center" vertical="center"/>
    </xf>
    <xf numFmtId="0" fontId="14" fillId="10" borderId="40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37" xfId="0" applyFont="1" applyFill="1" applyBorder="1" applyAlignment="1">
      <alignment horizontal="center" vertical="center"/>
    </xf>
    <xf numFmtId="0" fontId="10" fillId="8" borderId="50" xfId="0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/>
    </xf>
    <xf numFmtId="0" fontId="10" fillId="8" borderId="52" xfId="0" applyFont="1" applyFill="1" applyBorder="1" applyAlignment="1">
      <alignment horizontal="center" vertical="center"/>
    </xf>
    <xf numFmtId="0" fontId="10" fillId="8" borderId="51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center" vertical="center"/>
    </xf>
    <xf numFmtId="0" fontId="10" fillId="8" borderId="4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5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59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" fillId="14" borderId="59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59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8" fillId="7" borderId="44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7" borderId="42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8" fillId="7" borderId="25" xfId="0" applyFont="1" applyFill="1" applyBorder="1" applyAlignment="1">
      <alignment horizontal="center" vertical="center"/>
    </xf>
    <xf numFmtId="0" fontId="18" fillId="7" borderId="47" xfId="0" applyFont="1" applyFill="1" applyBorder="1" applyAlignment="1">
      <alignment horizontal="center" vertical="center"/>
    </xf>
    <xf numFmtId="0" fontId="18" fillId="7" borderId="48" xfId="0" applyFont="1" applyFill="1" applyBorder="1" applyAlignment="1">
      <alignment horizontal="center" vertical="center"/>
    </xf>
    <xf numFmtId="0" fontId="18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7" borderId="47" xfId="0" applyFont="1" applyFill="1" applyBorder="1" applyAlignment="1">
      <alignment horizontal="center" vertical="center"/>
    </xf>
    <xf numFmtId="0" fontId="17" fillId="7" borderId="48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5" fillId="10" borderId="27" xfId="0" applyFont="1" applyFill="1" applyBorder="1" applyAlignment="1">
      <alignment horizontal="center" vertical="center"/>
    </xf>
    <xf numFmtId="0" fontId="15" fillId="10" borderId="34" xfId="0" applyFont="1" applyFill="1" applyBorder="1" applyAlignment="1">
      <alignment horizontal="center" vertical="center"/>
    </xf>
    <xf numFmtId="49" fontId="10" fillId="6" borderId="44" xfId="0" applyNumberFormat="1" applyFont="1" applyFill="1" applyBorder="1" applyAlignment="1">
      <alignment horizontal="center" vertical="center"/>
    </xf>
    <xf numFmtId="49" fontId="10" fillId="6" borderId="8" xfId="0" applyNumberFormat="1" applyFont="1" applyFill="1" applyBorder="1" applyAlignment="1">
      <alignment horizontal="center" vertical="center"/>
    </xf>
    <xf numFmtId="49" fontId="10" fillId="6" borderId="0" xfId="0" applyNumberFormat="1" applyFont="1" applyFill="1" applyAlignment="1">
      <alignment horizontal="center" vertical="center"/>
    </xf>
    <xf numFmtId="49" fontId="10" fillId="6" borderId="25" xfId="0" applyNumberFormat="1" applyFont="1" applyFill="1" applyBorder="1" applyAlignment="1">
      <alignment horizontal="center" vertical="center"/>
    </xf>
    <xf numFmtId="49" fontId="10" fillId="6" borderId="48" xfId="0" applyNumberFormat="1" applyFont="1" applyFill="1" applyBorder="1" applyAlignment="1">
      <alignment horizontal="center" vertical="center"/>
    </xf>
    <xf numFmtId="49" fontId="10" fillId="6" borderId="40" xfId="0" applyNumberFormat="1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right" vertical="center"/>
    </xf>
    <xf numFmtId="0" fontId="13" fillId="7" borderId="44" xfId="0" applyFont="1" applyFill="1" applyBorder="1" applyAlignment="1">
      <alignment horizontal="right" vertical="center"/>
    </xf>
    <xf numFmtId="0" fontId="13" fillId="7" borderId="42" xfId="0" applyFont="1" applyFill="1" applyBorder="1" applyAlignment="1">
      <alignment horizontal="right" vertical="center"/>
    </xf>
    <xf numFmtId="0" fontId="13" fillId="7" borderId="0" xfId="0" applyFont="1" applyFill="1" applyAlignment="1">
      <alignment horizontal="right" vertical="center"/>
    </xf>
    <xf numFmtId="0" fontId="13" fillId="7" borderId="47" xfId="0" applyFont="1" applyFill="1" applyBorder="1" applyAlignment="1">
      <alignment horizontal="right" vertical="center"/>
    </xf>
    <xf numFmtId="0" fontId="13" fillId="7" borderId="48" xfId="0" applyFont="1" applyFill="1" applyBorder="1" applyAlignment="1">
      <alignment horizontal="right" vertical="center"/>
    </xf>
    <xf numFmtId="0" fontId="13" fillId="7" borderId="44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/>
    </xf>
    <xf numFmtId="0" fontId="13" fillId="7" borderId="0" xfId="0" applyFont="1" applyFill="1" applyAlignment="1">
      <alignment horizontal="left" vertical="center"/>
    </xf>
    <xf numFmtId="0" fontId="13" fillId="7" borderId="25" xfId="0" applyFont="1" applyFill="1" applyBorder="1" applyAlignment="1">
      <alignment horizontal="left" vertical="center"/>
    </xf>
    <xf numFmtId="0" fontId="13" fillId="7" borderId="48" xfId="0" applyFont="1" applyFill="1" applyBorder="1" applyAlignment="1">
      <alignment horizontal="left" vertical="center"/>
    </xf>
    <xf numFmtId="0" fontId="13" fillId="7" borderId="40" xfId="0" applyFont="1" applyFill="1" applyBorder="1" applyAlignment="1">
      <alignment horizontal="left" vertical="center"/>
    </xf>
    <xf numFmtId="14" fontId="9" fillId="6" borderId="44" xfId="0" applyNumberFormat="1" applyFont="1" applyFill="1" applyBorder="1" applyAlignment="1">
      <alignment horizontal="left" vertical="center"/>
    </xf>
    <xf numFmtId="14" fontId="9" fillId="6" borderId="8" xfId="0" applyNumberFormat="1" applyFont="1" applyFill="1" applyBorder="1" applyAlignment="1">
      <alignment horizontal="left" vertical="center"/>
    </xf>
    <xf numFmtId="14" fontId="9" fillId="6" borderId="48" xfId="0" applyNumberFormat="1" applyFont="1" applyFill="1" applyBorder="1" applyAlignment="1">
      <alignment horizontal="left" vertical="center"/>
    </xf>
    <xf numFmtId="14" fontId="9" fillId="6" borderId="40" xfId="0" applyNumberFormat="1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right" vertical="center"/>
    </xf>
    <xf numFmtId="0" fontId="9" fillId="6" borderId="44" xfId="0" applyFont="1" applyFill="1" applyBorder="1" applyAlignment="1">
      <alignment horizontal="right" vertical="center"/>
    </xf>
    <xf numFmtId="0" fontId="9" fillId="6" borderId="47" xfId="0" applyFont="1" applyFill="1" applyBorder="1" applyAlignment="1">
      <alignment horizontal="right" vertical="center"/>
    </xf>
    <xf numFmtId="0" fontId="9" fillId="6" borderId="48" xfId="0" applyFont="1" applyFill="1" applyBorder="1" applyAlignment="1">
      <alignment horizontal="right" vertical="center"/>
    </xf>
    <xf numFmtId="0" fontId="19" fillId="18" borderId="108" xfId="0" applyFont="1" applyFill="1" applyBorder="1" applyAlignment="1">
      <alignment horizontal="center" vertical="center"/>
    </xf>
    <xf numFmtId="0" fontId="19" fillId="18" borderId="109" xfId="0" applyFont="1" applyFill="1" applyBorder="1" applyAlignment="1">
      <alignment horizontal="center" vertical="center"/>
    </xf>
    <xf numFmtId="0" fontId="27" fillId="17" borderId="47" xfId="0" quotePrefix="1" applyFont="1" applyFill="1" applyBorder="1" applyAlignment="1">
      <alignment horizontal="center" vertical="center"/>
    </xf>
    <xf numFmtId="0" fontId="27" fillId="17" borderId="48" xfId="0" quotePrefix="1" applyFont="1" applyFill="1" applyBorder="1" applyAlignment="1">
      <alignment horizontal="center" vertical="center"/>
    </xf>
    <xf numFmtId="0" fontId="27" fillId="17" borderId="27" xfId="0" quotePrefix="1" applyFont="1" applyFill="1" applyBorder="1" applyAlignment="1">
      <alignment horizontal="center" vertical="center"/>
    </xf>
    <xf numFmtId="0" fontId="27" fillId="17" borderId="103" xfId="0" quotePrefix="1" applyFont="1" applyFill="1" applyBorder="1" applyAlignment="1">
      <alignment horizontal="center" vertical="center"/>
    </xf>
    <xf numFmtId="164" fontId="23" fillId="0" borderId="100" xfId="0" applyNumberFormat="1" applyFont="1" applyBorder="1" applyAlignment="1">
      <alignment horizontal="center" vertical="center"/>
    </xf>
    <xf numFmtId="164" fontId="23" fillId="0" borderId="99" xfId="0" applyNumberFormat="1" applyFont="1" applyBorder="1" applyAlignment="1">
      <alignment horizontal="center" vertical="center"/>
    </xf>
    <xf numFmtId="164" fontId="23" fillId="0" borderId="104" xfId="0" applyNumberFormat="1" applyFont="1" applyBorder="1" applyAlignment="1">
      <alignment horizontal="center" vertical="center"/>
    </xf>
    <xf numFmtId="0" fontId="27" fillId="17" borderId="94" xfId="0" applyFont="1" applyFill="1" applyBorder="1" applyAlignment="1">
      <alignment horizontal="center" vertical="center"/>
    </xf>
    <xf numFmtId="0" fontId="27" fillId="17" borderId="48" xfId="0" applyFont="1" applyFill="1" applyBorder="1" applyAlignment="1">
      <alignment horizontal="center" vertical="center"/>
    </xf>
    <xf numFmtId="0" fontId="27" fillId="17" borderId="27" xfId="0" applyFont="1" applyFill="1" applyBorder="1" applyAlignment="1">
      <alignment horizontal="center" vertical="center"/>
    </xf>
    <xf numFmtId="164" fontId="12" fillId="0" borderId="95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98" xfId="0" applyNumberFormat="1" applyFont="1" applyBorder="1" applyAlignment="1">
      <alignment horizontal="center" vertical="center"/>
    </xf>
    <xf numFmtId="164" fontId="12" fillId="0" borderId="99" xfId="0" applyNumberFormat="1" applyFont="1" applyBorder="1" applyAlignment="1">
      <alignment horizontal="center" vertical="center"/>
    </xf>
    <xf numFmtId="0" fontId="6" fillId="10" borderId="73" xfId="0" applyFont="1" applyFill="1" applyBorder="1" applyAlignment="1">
      <alignment horizontal="center" vertical="center"/>
    </xf>
    <xf numFmtId="0" fontId="6" fillId="10" borderId="74" xfId="0" applyFont="1" applyFill="1" applyBorder="1" applyAlignment="1">
      <alignment horizontal="center" vertical="center"/>
    </xf>
    <xf numFmtId="0" fontId="6" fillId="10" borderId="77" xfId="0" applyFont="1" applyFill="1" applyBorder="1" applyAlignment="1">
      <alignment horizontal="center" vertical="center"/>
    </xf>
    <xf numFmtId="0" fontId="25" fillId="10" borderId="105" xfId="0" applyFont="1" applyFill="1" applyBorder="1" applyAlignment="1">
      <alignment horizontal="left" vertical="center"/>
    </xf>
    <xf numFmtId="49" fontId="6" fillId="10" borderId="106" xfId="0" applyNumberFormat="1" applyFont="1" applyFill="1" applyBorder="1" applyAlignment="1">
      <alignment horizontal="center" vertical="center"/>
    </xf>
    <xf numFmtId="49" fontId="6" fillId="10" borderId="105" xfId="0" applyNumberFormat="1" applyFont="1" applyFill="1" applyBorder="1" applyAlignment="1">
      <alignment horizontal="center" vertical="center"/>
    </xf>
    <xf numFmtId="0" fontId="18" fillId="10" borderId="106" xfId="0" applyFont="1" applyFill="1" applyBorder="1" applyAlignment="1">
      <alignment horizontal="center" vertical="center"/>
    </xf>
    <xf numFmtId="0" fontId="18" fillId="10" borderId="105" xfId="0" applyFont="1" applyFill="1" applyBorder="1" applyAlignment="1">
      <alignment horizontal="center" vertical="center"/>
    </xf>
    <xf numFmtId="164" fontId="27" fillId="0" borderId="81" xfId="0" applyNumberFormat="1" applyFont="1" applyBorder="1" applyAlignment="1">
      <alignment horizontal="center" vertical="center"/>
    </xf>
    <xf numFmtId="164" fontId="27" fillId="0" borderId="34" xfId="0" applyNumberFormat="1" applyFont="1" applyBorder="1" applyAlignment="1">
      <alignment horizontal="center" vertical="center"/>
    </xf>
    <xf numFmtId="164" fontId="27" fillId="0" borderId="44" xfId="0" applyNumberFormat="1" applyFont="1" applyBorder="1" applyAlignment="1">
      <alignment horizontal="center" vertical="center"/>
    </xf>
    <xf numFmtId="0" fontId="27" fillId="6" borderId="42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7" fillId="6" borderId="102" xfId="0" applyFont="1" applyFill="1" applyBorder="1" applyAlignment="1">
      <alignment horizontal="center" vertical="center"/>
    </xf>
    <xf numFmtId="0" fontId="21" fillId="17" borderId="28" xfId="0" quotePrefix="1" applyFont="1" applyFill="1" applyBorder="1" applyAlignment="1">
      <alignment horizontal="center" vertical="center"/>
    </xf>
    <xf numFmtId="0" fontId="21" fillId="17" borderId="34" xfId="0" quotePrefix="1" applyFont="1" applyFill="1" applyBorder="1" applyAlignment="1">
      <alignment horizontal="center" vertical="center"/>
    </xf>
    <xf numFmtId="0" fontId="21" fillId="17" borderId="44" xfId="0" quotePrefix="1" applyFont="1" applyFill="1" applyBorder="1" applyAlignment="1">
      <alignment horizontal="center" vertical="center"/>
    </xf>
    <xf numFmtId="0" fontId="21" fillId="17" borderId="102" xfId="0" quotePrefix="1" applyFont="1" applyFill="1" applyBorder="1" applyAlignment="1">
      <alignment horizontal="center" vertical="center"/>
    </xf>
    <xf numFmtId="164" fontId="27" fillId="0" borderId="28" xfId="0" applyNumberFormat="1" applyFont="1" applyBorder="1" applyAlignment="1">
      <alignment horizontal="center" vertical="center"/>
    </xf>
    <xf numFmtId="164" fontId="27" fillId="0" borderId="102" xfId="0" applyNumberFormat="1" applyFont="1" applyBorder="1" applyAlignment="1">
      <alignment horizontal="center" vertical="center"/>
    </xf>
    <xf numFmtId="0" fontId="1" fillId="6" borderId="75" xfId="0" applyFont="1" applyFill="1" applyBorder="1" applyAlignment="1">
      <alignment horizontal="center" vertical="center" wrapText="1"/>
    </xf>
    <xf numFmtId="0" fontId="1" fillId="6" borderId="76" xfId="0" applyFont="1" applyFill="1" applyBorder="1" applyAlignment="1">
      <alignment horizontal="center" vertical="center" wrapText="1"/>
    </xf>
    <xf numFmtId="0" fontId="1" fillId="6" borderId="80" xfId="0" applyFont="1" applyFill="1" applyBorder="1" applyAlignment="1">
      <alignment horizontal="center" vertical="center" wrapText="1"/>
    </xf>
    <xf numFmtId="0" fontId="21" fillId="6" borderId="75" xfId="0" applyFont="1" applyFill="1" applyBorder="1" applyAlignment="1">
      <alignment horizontal="center" vertical="center"/>
    </xf>
    <xf numFmtId="0" fontId="21" fillId="6" borderId="89" xfId="0" applyFont="1" applyFill="1" applyBorder="1" applyAlignment="1">
      <alignment horizontal="center" vertical="center"/>
    </xf>
    <xf numFmtId="0" fontId="21" fillId="6" borderId="92" xfId="0" applyFont="1" applyFill="1" applyBorder="1" applyAlignment="1">
      <alignment horizontal="center" vertical="center"/>
    </xf>
    <xf numFmtId="0" fontId="6" fillId="10" borderId="96" xfId="0" applyFont="1" applyFill="1" applyBorder="1" applyAlignment="1">
      <alignment horizontal="center" vertical="center"/>
    </xf>
    <xf numFmtId="0" fontId="6" fillId="10" borderId="97" xfId="0" applyFont="1" applyFill="1" applyBorder="1" applyAlignment="1">
      <alignment horizontal="center" vertical="center"/>
    </xf>
    <xf numFmtId="0" fontId="6" fillId="10" borderId="101" xfId="0" applyFont="1" applyFill="1" applyBorder="1" applyAlignment="1">
      <alignment horizontal="center" vertical="center"/>
    </xf>
    <xf numFmtId="0" fontId="27" fillId="6" borderId="93" xfId="0" applyFont="1" applyFill="1" applyBorder="1" applyAlignment="1">
      <alignment horizontal="center" vertical="center"/>
    </xf>
    <xf numFmtId="0" fontId="27" fillId="6" borderId="6" xfId="0" applyFont="1" applyFill="1" applyBorder="1" applyAlignment="1">
      <alignment horizontal="center" vertical="center"/>
    </xf>
    <xf numFmtId="0" fontId="27" fillId="17" borderId="28" xfId="0" applyFont="1" applyFill="1" applyBorder="1" applyAlignment="1">
      <alignment horizontal="center" vertical="center"/>
    </xf>
    <xf numFmtId="0" fontId="27" fillId="17" borderId="34" xfId="0" applyFont="1" applyFill="1" applyBorder="1" applyAlignment="1">
      <alignment horizontal="center" vertical="center"/>
    </xf>
    <xf numFmtId="0" fontId="27" fillId="17" borderId="44" xfId="0" applyFont="1" applyFill="1" applyBorder="1" applyAlignment="1">
      <alignment horizontal="center" vertical="center"/>
    </xf>
    <xf numFmtId="0" fontId="27" fillId="17" borderId="81" xfId="0" applyFont="1" applyFill="1" applyBorder="1" applyAlignment="1">
      <alignment horizontal="center" vertical="center"/>
    </xf>
    <xf numFmtId="0" fontId="27" fillId="17" borderId="40" xfId="0" applyFont="1" applyFill="1" applyBorder="1" applyAlignment="1">
      <alignment horizontal="center" vertical="center"/>
    </xf>
    <xf numFmtId="0" fontId="27" fillId="17" borderId="102" xfId="0" applyFont="1" applyFill="1" applyBorder="1" applyAlignment="1">
      <alignment horizontal="center" vertical="center"/>
    </xf>
    <xf numFmtId="165" fontId="27" fillId="0" borderId="28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8694A3B8-7AC4-4A07-BA3E-24FD1209D730}"/>
  </cellStyles>
  <dxfs count="22"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ill>
        <patternFill patternType="lightUp">
          <fgColor indexed="64"/>
          <bgColor indexed="65"/>
        </patternFill>
      </fill>
    </dxf>
    <dxf>
      <fill>
        <patternFill patternType="lightUp">
          <fgColor indexed="64"/>
          <bgColor indexed="65"/>
        </patternFill>
      </fill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auto="1"/>
      </font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theme="6" tint="0.39991454817346722"/>
        </patternFill>
      </fill>
    </dxf>
    <dxf>
      <fill>
        <patternFill>
          <fgColor indexed="64"/>
          <bgColor theme="0" tint="-0.34998626667073579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Polulate PO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0</xdr:row>
          <xdr:rowOff>0</xdr:rowOff>
        </xdr:from>
        <xdr:to>
          <xdr:col>14</xdr:col>
          <xdr:colOff>0</xdr:colOff>
          <xdr:row>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Suppliers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oletta\AppData\Roaming\Microsoft\Excel\XLSTART\EAS_Macro_JR.xlam" TargetMode="External"/><Relationship Id="rId1" Type="http://schemas.microsoft.com/office/2006/relationships/xlExternalLinkPath/xlStartup" Target="EAS_Macro_J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EAS_Macro_JR"/>
    </sheetNames>
    <definedNames>
      <definedName name="PO.createPO"/>
      <definedName name="PO.updateSUP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0"/>
  </sheetPr>
  <dimension ref="A1:Z47"/>
  <sheetViews>
    <sheetView workbookViewId="0"/>
  </sheetViews>
  <sheetFormatPr defaultColWidth="11.42578125" defaultRowHeight="12.75" x14ac:dyDescent="0.2"/>
  <cols>
    <col min="1" max="1" width="6.7109375" style="4" customWidth="1"/>
    <col min="2" max="2" width="11.42578125" style="4" customWidth="1"/>
    <col min="3" max="4" width="10.7109375" style="4" customWidth="1"/>
    <col min="5" max="5" width="17.85546875" style="4" customWidth="1"/>
    <col min="6" max="6" width="7.7109375" style="4" customWidth="1"/>
    <col min="7" max="7" width="10.7109375" style="4" customWidth="1"/>
    <col min="8" max="9" width="7.42578125" style="4" customWidth="1"/>
    <col min="10" max="21" width="11.42578125" style="4"/>
    <col min="22" max="23" width="6" style="4" customWidth="1"/>
    <col min="24" max="25" width="11.42578125" style="4"/>
    <col min="26" max="26" width="6.7109375" style="4" customWidth="1"/>
    <col min="27" max="16384" width="11.42578125" style="4"/>
  </cols>
  <sheetData>
    <row r="1" spans="1:26" ht="8.25" customHeight="1" x14ac:dyDescent="0.2"/>
    <row r="2" spans="1:26" ht="9.75" customHeight="1" thickBo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27" customHeight="1" thickBot="1" x14ac:dyDescent="0.25">
      <c r="A3" s="6"/>
      <c r="B3" s="296" t="s">
        <v>0</v>
      </c>
      <c r="C3" s="297"/>
      <c r="D3" s="297"/>
      <c r="E3" s="302" t="e">
        <f>RIGHT(BOM!#REF!,LEN(BOM!#REF!)-3)</f>
        <v>#REF!</v>
      </c>
      <c r="F3" s="302"/>
      <c r="G3" s="302"/>
      <c r="H3" s="302"/>
      <c r="I3" s="303"/>
      <c r="J3" s="288" t="s">
        <v>143</v>
      </c>
      <c r="K3" s="288"/>
      <c r="L3" s="288"/>
      <c r="M3" s="288"/>
      <c r="N3" s="288"/>
      <c r="O3" s="288"/>
      <c r="P3" s="289"/>
      <c r="Q3" s="282" t="str">
        <f>"BOM Rev: " &amp; LOOKUP(2,1/(COUNTIF('Rev History'!$B$5:$B$19,"&gt;"&amp;'Rev History'!$B$5:$B$19&amp;"*")=0),'Rev History'!$B$5:$B$19)</f>
        <v>BOM Rev: A</v>
      </c>
      <c r="R3" s="283"/>
      <c r="S3" s="283"/>
      <c r="T3" s="283"/>
      <c r="U3" s="283"/>
      <c r="V3" s="283"/>
      <c r="W3" s="283"/>
      <c r="X3" s="283"/>
      <c r="Y3" s="284"/>
      <c r="Z3" s="7"/>
    </row>
    <row r="4" spans="1:26" ht="10.5" customHeight="1" thickBot="1" x14ac:dyDescent="0.25">
      <c r="A4" s="6"/>
      <c r="B4" s="298"/>
      <c r="C4" s="299"/>
      <c r="D4" s="299"/>
      <c r="E4" s="304"/>
      <c r="F4" s="304"/>
      <c r="G4" s="304"/>
      <c r="H4" s="304"/>
      <c r="I4" s="305"/>
      <c r="J4" s="290" t="e">
        <f>BOM!#REF!</f>
        <v>#REF!</v>
      </c>
      <c r="K4" s="290"/>
      <c r="L4" s="290"/>
      <c r="M4" s="290"/>
      <c r="N4" s="290"/>
      <c r="O4" s="290"/>
      <c r="P4" s="291"/>
      <c r="Q4" s="285"/>
      <c r="R4" s="286"/>
      <c r="S4" s="286"/>
      <c r="T4" s="286"/>
      <c r="U4" s="286"/>
      <c r="V4" s="286"/>
      <c r="W4" s="286"/>
      <c r="X4" s="286"/>
      <c r="Y4" s="287"/>
      <c r="Z4" s="7"/>
    </row>
    <row r="5" spans="1:26" ht="12.75" customHeight="1" x14ac:dyDescent="0.2">
      <c r="A5" s="6"/>
      <c r="B5" s="298"/>
      <c r="C5" s="299"/>
      <c r="D5" s="299"/>
      <c r="E5" s="304"/>
      <c r="F5" s="304"/>
      <c r="G5" s="304"/>
      <c r="H5" s="304"/>
      <c r="I5" s="305"/>
      <c r="J5" s="292"/>
      <c r="K5" s="292"/>
      <c r="L5" s="292"/>
      <c r="M5" s="292"/>
      <c r="N5" s="292"/>
      <c r="O5" s="292"/>
      <c r="P5" s="293"/>
      <c r="Q5" s="273" t="s">
        <v>179</v>
      </c>
      <c r="R5" s="274"/>
      <c r="S5" s="274"/>
      <c r="T5" s="274"/>
      <c r="U5" s="274"/>
      <c r="V5" s="274"/>
      <c r="W5" s="274"/>
      <c r="X5" s="274"/>
      <c r="Y5" s="275"/>
      <c r="Z5" s="7"/>
    </row>
    <row r="6" spans="1:26" ht="12.75" customHeight="1" x14ac:dyDescent="0.2">
      <c r="A6" s="6"/>
      <c r="B6" s="298"/>
      <c r="C6" s="299"/>
      <c r="D6" s="299"/>
      <c r="E6" s="304"/>
      <c r="F6" s="304"/>
      <c r="G6" s="304"/>
      <c r="H6" s="304"/>
      <c r="I6" s="305"/>
      <c r="J6" s="292"/>
      <c r="K6" s="292"/>
      <c r="L6" s="292"/>
      <c r="M6" s="292"/>
      <c r="N6" s="292"/>
      <c r="O6" s="292"/>
      <c r="P6" s="293"/>
      <c r="Q6" s="276"/>
      <c r="R6" s="277"/>
      <c r="S6" s="277"/>
      <c r="T6" s="277"/>
      <c r="U6" s="277"/>
      <c r="V6" s="277"/>
      <c r="W6" s="277"/>
      <c r="X6" s="277"/>
      <c r="Y6" s="278"/>
      <c r="Z6" s="7"/>
    </row>
    <row r="7" spans="1:26" ht="5.25" customHeight="1" thickBot="1" x14ac:dyDescent="0.25">
      <c r="A7" s="6"/>
      <c r="B7" s="300"/>
      <c r="C7" s="301"/>
      <c r="D7" s="301"/>
      <c r="E7" s="306"/>
      <c r="F7" s="306"/>
      <c r="G7" s="306"/>
      <c r="H7" s="306"/>
      <c r="I7" s="307"/>
      <c r="J7" s="294"/>
      <c r="K7" s="294"/>
      <c r="L7" s="294"/>
      <c r="M7" s="294"/>
      <c r="N7" s="294"/>
      <c r="O7" s="294"/>
      <c r="P7" s="295"/>
      <c r="Q7" s="279"/>
      <c r="R7" s="280"/>
      <c r="S7" s="280"/>
      <c r="T7" s="280"/>
      <c r="U7" s="280"/>
      <c r="V7" s="280"/>
      <c r="W7" s="280"/>
      <c r="X7" s="280"/>
      <c r="Y7" s="281"/>
      <c r="Z7" s="7"/>
    </row>
    <row r="8" spans="1:26" ht="12.75" customHeight="1" x14ac:dyDescent="0.2">
      <c r="A8" s="6"/>
      <c r="B8" s="248" t="s">
        <v>142</v>
      </c>
      <c r="C8" s="249"/>
      <c r="D8" s="249"/>
      <c r="E8" s="249"/>
      <c r="F8" s="249"/>
      <c r="G8" s="249"/>
      <c r="H8" s="249"/>
      <c r="I8" s="249"/>
      <c r="J8" s="246"/>
      <c r="K8" s="246"/>
      <c r="L8" s="247"/>
      <c r="M8" s="245" t="s">
        <v>9</v>
      </c>
      <c r="N8" s="246"/>
      <c r="O8" s="246"/>
      <c r="P8" s="246"/>
      <c r="Q8" s="246"/>
      <c r="R8" s="247"/>
      <c r="S8" s="245" t="s">
        <v>146</v>
      </c>
      <c r="T8" s="246"/>
      <c r="U8" s="246"/>
      <c r="V8" s="246"/>
      <c r="W8" s="246"/>
      <c r="X8" s="246"/>
      <c r="Y8" s="247"/>
      <c r="Z8" s="7"/>
    </row>
    <row r="9" spans="1:26" ht="10.5" customHeight="1" x14ac:dyDescent="0.2">
      <c r="A9" s="6"/>
      <c r="B9" s="248"/>
      <c r="C9" s="249"/>
      <c r="D9" s="249"/>
      <c r="E9" s="249"/>
      <c r="F9" s="249"/>
      <c r="G9" s="249"/>
      <c r="H9" s="249"/>
      <c r="I9" s="249"/>
      <c r="J9" s="249"/>
      <c r="K9" s="249"/>
      <c r="L9" s="250"/>
      <c r="M9" s="248"/>
      <c r="N9" s="249"/>
      <c r="O9" s="249"/>
      <c r="P9" s="249"/>
      <c r="Q9" s="249"/>
      <c r="R9" s="250"/>
      <c r="S9" s="248"/>
      <c r="T9" s="249"/>
      <c r="U9" s="249"/>
      <c r="V9" s="249"/>
      <c r="W9" s="249"/>
      <c r="X9" s="249"/>
      <c r="Y9" s="250"/>
      <c r="Z9" s="7"/>
    </row>
    <row r="10" spans="1:26" ht="12.75" customHeight="1" thickBot="1" x14ac:dyDescent="0.25">
      <c r="A10" s="6"/>
      <c r="B10" s="255"/>
      <c r="C10" s="251"/>
      <c r="D10" s="251"/>
      <c r="E10" s="251"/>
      <c r="F10" s="251"/>
      <c r="G10" s="251"/>
      <c r="H10" s="251"/>
      <c r="I10" s="251"/>
      <c r="J10" s="251"/>
      <c r="K10" s="251"/>
      <c r="L10" s="252"/>
      <c r="M10" s="255"/>
      <c r="N10" s="251"/>
      <c r="O10" s="251"/>
      <c r="P10" s="251"/>
      <c r="Q10" s="251"/>
      <c r="R10" s="252"/>
      <c r="S10" s="255"/>
      <c r="T10" s="251"/>
      <c r="U10" s="251"/>
      <c r="V10" s="251"/>
      <c r="W10" s="251"/>
      <c r="X10" s="251"/>
      <c r="Y10" s="252"/>
      <c r="Z10" s="7"/>
    </row>
    <row r="11" spans="1:26" ht="12.75" customHeight="1" x14ac:dyDescent="0.2">
      <c r="A11" s="6"/>
      <c r="B11" s="312" t="s">
        <v>191</v>
      </c>
      <c r="C11" s="313"/>
      <c r="D11" s="313"/>
      <c r="E11" s="313"/>
      <c r="F11" s="313"/>
      <c r="G11" s="308">
        <v>45169</v>
      </c>
      <c r="H11" s="308"/>
      <c r="I11" s="308"/>
      <c r="J11" s="308"/>
      <c r="K11" s="308"/>
      <c r="L11" s="309"/>
      <c r="M11" s="128" t="s">
        <v>144</v>
      </c>
      <c r="N11" s="129"/>
      <c r="O11" s="130"/>
      <c r="P11" s="128" t="s">
        <v>145</v>
      </c>
      <c r="Q11" s="129"/>
      <c r="R11" s="130"/>
      <c r="S11" s="128" t="s">
        <v>147</v>
      </c>
      <c r="T11" s="129"/>
      <c r="U11" s="129"/>
      <c r="V11" s="129"/>
      <c r="W11" s="129"/>
      <c r="X11" s="129"/>
      <c r="Y11" s="130"/>
      <c r="Z11" s="7"/>
    </row>
    <row r="12" spans="1:26" ht="13.5" customHeight="1" thickBot="1" x14ac:dyDescent="0.25">
      <c r="A12" s="6"/>
      <c r="B12" s="314"/>
      <c r="C12" s="315"/>
      <c r="D12" s="315"/>
      <c r="E12" s="315"/>
      <c r="F12" s="315"/>
      <c r="G12" s="310"/>
      <c r="H12" s="310"/>
      <c r="I12" s="310"/>
      <c r="J12" s="310"/>
      <c r="K12" s="310"/>
      <c r="L12" s="311"/>
      <c r="M12" s="131"/>
      <c r="N12" s="132"/>
      <c r="O12" s="133"/>
      <c r="P12" s="131"/>
      <c r="Q12" s="132"/>
      <c r="R12" s="133"/>
      <c r="S12" s="170"/>
      <c r="T12" s="171"/>
      <c r="U12" s="171"/>
      <c r="V12" s="171"/>
      <c r="W12" s="171"/>
      <c r="X12" s="171"/>
      <c r="Y12" s="172"/>
      <c r="Z12" s="7"/>
    </row>
    <row r="13" spans="1:26" ht="12.75" customHeight="1" thickBot="1" x14ac:dyDescent="0.25">
      <c r="A13" s="6"/>
      <c r="B13" s="9"/>
      <c r="C13" s="10"/>
      <c r="D13" s="10"/>
      <c r="E13" s="14"/>
      <c r="F13" s="14"/>
      <c r="G13" s="14"/>
      <c r="H13" s="14"/>
      <c r="I13" s="10"/>
      <c r="J13" s="14"/>
      <c r="K13" s="14"/>
      <c r="L13" s="11"/>
      <c r="M13" s="158"/>
      <c r="N13" s="152"/>
      <c r="O13" s="153"/>
      <c r="P13" s="158"/>
      <c r="Q13" s="152"/>
      <c r="R13" s="152"/>
      <c r="S13" s="101" t="s">
        <v>2</v>
      </c>
      <c r="T13" s="102"/>
      <c r="U13" s="97" t="e">
        <f>SUMIF(BOM!#REF!,$S13,BOM!#REF!)</f>
        <v>#REF!</v>
      </c>
      <c r="V13" s="98"/>
      <c r="W13" s="101" t="s">
        <v>186</v>
      </c>
      <c r="X13" s="105"/>
      <c r="Y13" s="102"/>
      <c r="Z13" s="7"/>
    </row>
    <row r="14" spans="1:26" ht="12.75" customHeight="1" thickBot="1" x14ac:dyDescent="0.25">
      <c r="A14" s="6"/>
      <c r="B14" s="237" t="s">
        <v>151</v>
      </c>
      <c r="C14" s="238"/>
      <c r="D14" s="239"/>
      <c r="E14" s="259" t="s">
        <v>229</v>
      </c>
      <c r="F14" s="260"/>
      <c r="G14" s="260"/>
      <c r="H14" s="261"/>
      <c r="I14" s="15"/>
      <c r="J14" s="265"/>
      <c r="K14" s="253">
        <f>COUNTIF(Calculations!G:G,1)</f>
        <v>0</v>
      </c>
      <c r="L14" s="15"/>
      <c r="M14" s="159"/>
      <c r="N14" s="154"/>
      <c r="O14" s="155"/>
      <c r="P14" s="159"/>
      <c r="Q14" s="154"/>
      <c r="R14" s="154"/>
      <c r="S14" s="103"/>
      <c r="T14" s="104"/>
      <c r="U14" s="99"/>
      <c r="V14" s="100"/>
      <c r="W14" s="103"/>
      <c r="X14" s="106"/>
      <c r="Y14" s="104"/>
      <c r="Z14" s="7"/>
    </row>
    <row r="15" spans="1:26" ht="12.75" customHeight="1" thickBot="1" x14ac:dyDescent="0.25">
      <c r="A15" s="6"/>
      <c r="B15" s="240"/>
      <c r="C15" s="241"/>
      <c r="D15" s="242"/>
      <c r="E15" s="262"/>
      <c r="F15" s="263"/>
      <c r="G15" s="263"/>
      <c r="H15" s="264"/>
      <c r="I15" s="15"/>
      <c r="J15" s="266"/>
      <c r="K15" s="254"/>
      <c r="L15" s="15"/>
      <c r="M15" s="159"/>
      <c r="N15" s="154"/>
      <c r="O15" s="155"/>
      <c r="P15" s="159"/>
      <c r="Q15" s="154"/>
      <c r="R15" s="155"/>
      <c r="S15" s="101" t="s">
        <v>220</v>
      </c>
      <c r="T15" s="102"/>
      <c r="U15" s="97" t="e">
        <f>SUMIF(BOM!#REF!,$S15,BOM!#REF!)</f>
        <v>#REF!</v>
      </c>
      <c r="V15" s="98"/>
      <c r="W15" s="107">
        <f>SUMIF(Calculations!M:M,"&gt;0",Calculations!M:M)</f>
        <v>0</v>
      </c>
      <c r="X15" s="108"/>
      <c r="Y15" s="109"/>
      <c r="Z15" s="7"/>
    </row>
    <row r="16" spans="1:26" ht="12.75" customHeight="1" thickBot="1" x14ac:dyDescent="0.25">
      <c r="A16" s="6"/>
      <c r="B16" s="8"/>
      <c r="E16" s="14"/>
      <c r="F16" s="10"/>
      <c r="G16" s="10"/>
      <c r="H16" s="14"/>
      <c r="I16" s="6"/>
      <c r="J16" s="267"/>
      <c r="K16" s="253">
        <f>COUNTIF(Calculations!L:L,1)</f>
        <v>0</v>
      </c>
      <c r="L16" s="15"/>
      <c r="M16" s="159"/>
      <c r="N16" s="154"/>
      <c r="O16" s="155"/>
      <c r="P16" s="159"/>
      <c r="Q16" s="154"/>
      <c r="R16" s="155"/>
      <c r="S16" s="103"/>
      <c r="T16" s="104"/>
      <c r="U16" s="99"/>
      <c r="V16" s="100"/>
      <c r="W16" s="110"/>
      <c r="X16" s="111"/>
      <c r="Y16" s="112"/>
      <c r="Z16" s="7"/>
    </row>
    <row r="17" spans="1:26" ht="12.75" customHeight="1" thickBot="1" x14ac:dyDescent="0.25">
      <c r="A17" s="6"/>
      <c r="B17" s="237" t="s">
        <v>150</v>
      </c>
      <c r="C17" s="238"/>
      <c r="D17" s="239"/>
      <c r="E17" s="179" t="e">
        <f>BOM!#REF!</f>
        <v>#REF!</v>
      </c>
      <c r="F17" s="243" t="s">
        <v>152</v>
      </c>
      <c r="G17" s="239"/>
      <c r="H17" s="187" t="e">
        <f>COUNTIF(BOM!#REF!,"&gt;=0")</f>
        <v>#REF!</v>
      </c>
      <c r="I17" s="15"/>
      <c r="J17" s="268"/>
      <c r="K17" s="254"/>
      <c r="L17" s="15"/>
      <c r="M17" s="160"/>
      <c r="N17" s="156"/>
      <c r="O17" s="157"/>
      <c r="P17" s="160"/>
      <c r="Q17" s="156"/>
      <c r="R17" s="157"/>
      <c r="S17" s="101" t="s">
        <v>1</v>
      </c>
      <c r="T17" s="102"/>
      <c r="U17" s="97" t="e">
        <f>SUMIF(BOM!#REF!,$S17,BOM!#REF!)</f>
        <v>#REF!</v>
      </c>
      <c r="V17" s="98"/>
      <c r="W17" s="113"/>
      <c r="X17" s="114"/>
      <c r="Y17" s="115"/>
      <c r="Z17" s="7"/>
    </row>
    <row r="18" spans="1:26" ht="12.75" customHeight="1" thickBot="1" x14ac:dyDescent="0.25">
      <c r="A18" s="6"/>
      <c r="B18" s="240"/>
      <c r="C18" s="241"/>
      <c r="D18" s="242"/>
      <c r="E18" s="180"/>
      <c r="F18" s="244"/>
      <c r="G18" s="242"/>
      <c r="H18" s="188"/>
      <c r="I18" s="15"/>
      <c r="J18" s="269"/>
      <c r="K18" s="253">
        <f>COUNTIF(Calculations!F:F,1)</f>
        <v>0</v>
      </c>
      <c r="L18" s="15"/>
      <c r="M18" s="128" t="s">
        <v>148</v>
      </c>
      <c r="N18" s="129"/>
      <c r="O18" s="129"/>
      <c r="P18" s="129"/>
      <c r="Q18" s="129"/>
      <c r="R18" s="130"/>
      <c r="S18" s="103"/>
      <c r="T18" s="104"/>
      <c r="U18" s="99"/>
      <c r="V18" s="100"/>
      <c r="W18" s="101" t="s">
        <v>225</v>
      </c>
      <c r="X18" s="105"/>
      <c r="Y18" s="102"/>
      <c r="Z18" s="7"/>
    </row>
    <row r="19" spans="1:26" ht="12.75" customHeight="1" thickBot="1" x14ac:dyDescent="0.25">
      <c r="A19" s="6"/>
      <c r="B19" s="8"/>
      <c r="E19" s="14"/>
      <c r="F19" s="5"/>
      <c r="G19" s="5"/>
      <c r="H19" s="14"/>
      <c r="I19" s="6"/>
      <c r="J19" s="270"/>
      <c r="K19" s="254"/>
      <c r="L19" s="15"/>
      <c r="M19" s="170"/>
      <c r="N19" s="171"/>
      <c r="O19" s="171"/>
      <c r="P19" s="171"/>
      <c r="Q19" s="171"/>
      <c r="R19" s="172"/>
      <c r="S19" s="101" t="s">
        <v>3</v>
      </c>
      <c r="T19" s="102"/>
      <c r="U19" s="97" t="e">
        <f>SUMIF(BOM!#REF!,$S19,BOM!#REF!)</f>
        <v>#REF!</v>
      </c>
      <c r="V19" s="98"/>
      <c r="W19" s="103"/>
      <c r="X19" s="106"/>
      <c r="Y19" s="104"/>
      <c r="Z19" s="7"/>
    </row>
    <row r="20" spans="1:26" ht="12.75" customHeight="1" thickBot="1" x14ac:dyDescent="0.25">
      <c r="A20" s="6"/>
      <c r="B20" s="237" t="s">
        <v>149</v>
      </c>
      <c r="C20" s="238"/>
      <c r="D20" s="239"/>
      <c r="E20" s="181" t="e">
        <f>BOM!#REF!</f>
        <v>#REF!</v>
      </c>
      <c r="F20" s="182"/>
      <c r="G20" s="182"/>
      <c r="H20" s="183"/>
      <c r="I20" s="15"/>
      <c r="J20" s="271"/>
      <c r="K20" s="253">
        <f>COUNTIF(Calculations!J:J,1)</f>
        <v>0</v>
      </c>
      <c r="L20" s="15"/>
      <c r="M20" s="122" t="s">
        <v>272</v>
      </c>
      <c r="N20" s="123"/>
      <c r="O20" s="124"/>
      <c r="P20" s="122" t="s">
        <v>8</v>
      </c>
      <c r="Q20" s="123"/>
      <c r="R20" s="124"/>
      <c r="S20" s="106"/>
      <c r="T20" s="104"/>
      <c r="U20" s="99"/>
      <c r="V20" s="100"/>
      <c r="W20" s="107">
        <v>0</v>
      </c>
      <c r="X20" s="108"/>
      <c r="Y20" s="109"/>
      <c r="Z20" s="7"/>
    </row>
    <row r="21" spans="1:26" ht="12.75" customHeight="1" thickBot="1" x14ac:dyDescent="0.25">
      <c r="A21" s="6"/>
      <c r="B21" s="240"/>
      <c r="C21" s="241"/>
      <c r="D21" s="242"/>
      <c r="E21" s="184"/>
      <c r="F21" s="185"/>
      <c r="G21" s="185"/>
      <c r="H21" s="186"/>
      <c r="I21" s="15"/>
      <c r="J21" s="272"/>
      <c r="K21" s="254"/>
      <c r="L21" s="15"/>
      <c r="M21" s="125"/>
      <c r="N21" s="126"/>
      <c r="O21" s="127"/>
      <c r="P21" s="125"/>
      <c r="Q21" s="126"/>
      <c r="R21" s="127"/>
      <c r="S21" s="105" t="s">
        <v>4</v>
      </c>
      <c r="T21" s="102"/>
      <c r="U21" s="97" t="e">
        <f>SUMIF(BOM!#REF!,$S21,BOM!#REF!)</f>
        <v>#REF!</v>
      </c>
      <c r="V21" s="98"/>
      <c r="W21" s="110"/>
      <c r="X21" s="111"/>
      <c r="Y21" s="112"/>
      <c r="Z21" s="7"/>
    </row>
    <row r="22" spans="1:26" ht="12.75" customHeight="1" thickBot="1" x14ac:dyDescent="0.25">
      <c r="A22" s="6"/>
      <c r="B22" s="8"/>
      <c r="C22" s="5"/>
      <c r="D22" s="5"/>
      <c r="E22" s="14"/>
      <c r="F22" s="14"/>
      <c r="G22" s="14"/>
      <c r="H22" s="14"/>
      <c r="I22" s="5"/>
      <c r="J22" s="14"/>
      <c r="K22" s="14"/>
      <c r="L22" s="6"/>
      <c r="M22" s="231" t="s">
        <v>273</v>
      </c>
      <c r="N22" s="219">
        <f>COUNTIF(Calculations!D:D,0)</f>
        <v>0</v>
      </c>
      <c r="O22" s="222" t="e">
        <f>$N$22/$H$17</f>
        <v>#REF!</v>
      </c>
      <c r="P22" s="234" t="s">
        <v>274</v>
      </c>
      <c r="Q22" s="219">
        <f>COUNTIF(Calculations!A:A,2)</f>
        <v>0</v>
      </c>
      <c r="R22" s="222" t="e">
        <f>$Q$22/$H$17</f>
        <v>#REF!</v>
      </c>
      <c r="S22" s="106"/>
      <c r="T22" s="104"/>
      <c r="U22" s="99"/>
      <c r="V22" s="100"/>
      <c r="W22" s="113"/>
      <c r="X22" s="114"/>
      <c r="Y22" s="115"/>
      <c r="Z22" s="7"/>
    </row>
    <row r="23" spans="1:26" ht="12.75" customHeight="1" x14ac:dyDescent="0.2">
      <c r="A23" s="6"/>
      <c r="B23" s="16"/>
      <c r="C23" s="189" t="s">
        <v>161</v>
      </c>
      <c r="D23" s="190"/>
      <c r="E23" s="191"/>
      <c r="F23" s="164" t="s">
        <v>167</v>
      </c>
      <c r="G23" s="165"/>
      <c r="H23" s="161" t="s">
        <v>173</v>
      </c>
      <c r="I23" s="162"/>
      <c r="J23" s="162"/>
      <c r="K23" s="163"/>
      <c r="L23" s="15"/>
      <c r="M23" s="232"/>
      <c r="N23" s="220"/>
      <c r="O23" s="223"/>
      <c r="P23" s="235"/>
      <c r="Q23" s="220"/>
      <c r="R23" s="223"/>
      <c r="S23" s="105" t="s">
        <v>221</v>
      </c>
      <c r="T23" s="102"/>
      <c r="U23" s="97" t="e">
        <f>SUMIF(BOM!#REF!,$S23,BOM!#REF!)</f>
        <v>#REF!</v>
      </c>
      <c r="V23" s="98"/>
      <c r="W23" s="101" t="s">
        <v>226</v>
      </c>
      <c r="X23" s="105"/>
      <c r="Y23" s="102"/>
      <c r="Z23" s="7"/>
    </row>
    <row r="24" spans="1:26" ht="12.75" customHeight="1" thickBot="1" x14ac:dyDescent="0.25">
      <c r="A24" s="6"/>
      <c r="B24" s="16"/>
      <c r="C24" s="192" t="s">
        <v>162</v>
      </c>
      <c r="D24" s="193"/>
      <c r="E24" s="194"/>
      <c r="F24" s="166" t="s">
        <v>168</v>
      </c>
      <c r="G24" s="167"/>
      <c r="H24" s="225" t="s">
        <v>174</v>
      </c>
      <c r="I24" s="226"/>
      <c r="J24" s="226"/>
      <c r="K24" s="227"/>
      <c r="L24" s="15"/>
      <c r="M24" s="232"/>
      <c r="N24" s="220"/>
      <c r="O24" s="223"/>
      <c r="P24" s="235"/>
      <c r="Q24" s="220"/>
      <c r="R24" s="223"/>
      <c r="S24" s="106"/>
      <c r="T24" s="104"/>
      <c r="U24" s="99"/>
      <c r="V24" s="100"/>
      <c r="W24" s="103"/>
      <c r="X24" s="106"/>
      <c r="Y24" s="104"/>
      <c r="Z24" s="7"/>
    </row>
    <row r="25" spans="1:26" ht="12.75" customHeight="1" thickBot="1" x14ac:dyDescent="0.25">
      <c r="A25" s="6"/>
      <c r="B25" s="16"/>
      <c r="C25" s="195" t="s">
        <v>163</v>
      </c>
      <c r="D25" s="196"/>
      <c r="E25" s="197"/>
      <c r="F25" s="166" t="s">
        <v>169</v>
      </c>
      <c r="G25" s="167"/>
      <c r="H25" s="225" t="s">
        <v>175</v>
      </c>
      <c r="I25" s="226"/>
      <c r="J25" s="226"/>
      <c r="K25" s="227"/>
      <c r="L25" s="15"/>
      <c r="M25" s="233"/>
      <c r="N25" s="221"/>
      <c r="O25" s="224"/>
      <c r="P25" s="236"/>
      <c r="Q25" s="221"/>
      <c r="R25" s="224"/>
      <c r="S25" s="105" t="s">
        <v>222</v>
      </c>
      <c r="T25" s="102"/>
      <c r="U25" s="97" t="e">
        <f>SUMIF(BOM!#REF!,$S25,BOM!#REF!)</f>
        <v>#REF!</v>
      </c>
      <c r="V25" s="98"/>
      <c r="W25" s="210" t="str">
        <f>IFERROR(($W$15/$S$35),"0")</f>
        <v>0</v>
      </c>
      <c r="X25" s="211"/>
      <c r="Y25" s="212"/>
      <c r="Z25" s="7"/>
    </row>
    <row r="26" spans="1:26" ht="12.75" customHeight="1" thickBot="1" x14ac:dyDescent="0.25">
      <c r="A26" s="6"/>
      <c r="B26" s="16"/>
      <c r="C26" s="198" t="s">
        <v>164</v>
      </c>
      <c r="D26" s="199"/>
      <c r="E26" s="200"/>
      <c r="F26" s="166" t="s">
        <v>170</v>
      </c>
      <c r="G26" s="167"/>
      <c r="H26" s="225" t="s">
        <v>176</v>
      </c>
      <c r="I26" s="226"/>
      <c r="J26" s="226"/>
      <c r="K26" s="227"/>
      <c r="L26" s="15"/>
      <c r="M26" s="234" t="s">
        <v>185</v>
      </c>
      <c r="N26" s="219">
        <f>COUNTIF(Calculations!H:H,1)</f>
        <v>0</v>
      </c>
      <c r="O26" s="222">
        <f>IFERROR(N26/N22,0)</f>
        <v>0</v>
      </c>
      <c r="P26" s="231" t="s">
        <v>275</v>
      </c>
      <c r="Q26" s="219">
        <f>COUNTIF(Calculations!A:A,3)</f>
        <v>0</v>
      </c>
      <c r="R26" s="222" t="e">
        <f>$Q$26/$H$17</f>
        <v>#REF!</v>
      </c>
      <c r="S26" s="103"/>
      <c r="T26" s="104"/>
      <c r="U26" s="99"/>
      <c r="V26" s="100"/>
      <c r="W26" s="213"/>
      <c r="X26" s="214"/>
      <c r="Y26" s="215"/>
      <c r="Z26" s="7"/>
    </row>
    <row r="27" spans="1:26" ht="12.75" customHeight="1" x14ac:dyDescent="0.2">
      <c r="A27" s="6"/>
      <c r="B27" s="16"/>
      <c r="C27" s="149" t="s">
        <v>165</v>
      </c>
      <c r="D27" s="150"/>
      <c r="E27" s="151"/>
      <c r="F27" s="166" t="s">
        <v>171</v>
      </c>
      <c r="G27" s="167"/>
      <c r="H27" s="225" t="s">
        <v>177</v>
      </c>
      <c r="I27" s="226"/>
      <c r="J27" s="226"/>
      <c r="K27" s="227"/>
      <c r="L27" s="15"/>
      <c r="M27" s="235"/>
      <c r="N27" s="220"/>
      <c r="O27" s="223"/>
      <c r="P27" s="232"/>
      <c r="Q27" s="220"/>
      <c r="R27" s="223"/>
      <c r="S27" s="101" t="s">
        <v>223</v>
      </c>
      <c r="T27" s="102"/>
      <c r="U27" s="97" t="e">
        <f>SUM(BOM!#REF!)-SUM(Overview!U13:V26)</f>
        <v>#REF!</v>
      </c>
      <c r="V27" s="98"/>
      <c r="W27" s="213"/>
      <c r="X27" s="214"/>
      <c r="Y27" s="215"/>
      <c r="Z27" s="7"/>
    </row>
    <row r="28" spans="1:26" ht="12.75" customHeight="1" thickBot="1" x14ac:dyDescent="0.25">
      <c r="A28" s="6"/>
      <c r="B28" s="16"/>
      <c r="C28" s="256" t="s">
        <v>166</v>
      </c>
      <c r="D28" s="257"/>
      <c r="E28" s="258"/>
      <c r="F28" s="168" t="s">
        <v>172</v>
      </c>
      <c r="G28" s="169"/>
      <c r="H28" s="228" t="s">
        <v>178</v>
      </c>
      <c r="I28" s="229"/>
      <c r="J28" s="229"/>
      <c r="K28" s="230"/>
      <c r="L28" s="15"/>
      <c r="M28" s="235"/>
      <c r="N28" s="220"/>
      <c r="O28" s="223"/>
      <c r="P28" s="232"/>
      <c r="Q28" s="220"/>
      <c r="R28" s="223"/>
      <c r="S28" s="103"/>
      <c r="T28" s="104"/>
      <c r="U28" s="99"/>
      <c r="V28" s="100"/>
      <c r="W28" s="213"/>
      <c r="X28" s="214"/>
      <c r="Y28" s="215"/>
      <c r="Z28" s="7"/>
    </row>
    <row r="29" spans="1:26" ht="12.75" customHeight="1" thickBot="1" x14ac:dyDescent="0.25">
      <c r="A29" s="6"/>
      <c r="B29" s="12"/>
      <c r="C29" s="14"/>
      <c r="D29" s="14"/>
      <c r="E29" s="14"/>
      <c r="F29" s="14"/>
      <c r="G29" s="14"/>
      <c r="H29" s="14"/>
      <c r="I29" s="14"/>
      <c r="J29" s="14"/>
      <c r="K29" s="14"/>
      <c r="L29" s="13"/>
      <c r="M29" s="236"/>
      <c r="N29" s="221"/>
      <c r="O29" s="224"/>
      <c r="P29" s="233"/>
      <c r="Q29" s="221"/>
      <c r="R29" s="224"/>
      <c r="S29" s="101" t="s">
        <v>224</v>
      </c>
      <c r="T29" s="102"/>
      <c r="U29" s="97">
        <v>0</v>
      </c>
      <c r="V29" s="98"/>
      <c r="W29" s="213"/>
      <c r="X29" s="214"/>
      <c r="Y29" s="215"/>
      <c r="Z29" s="7"/>
    </row>
    <row r="30" spans="1:26" ht="12.75" customHeight="1" thickBot="1" x14ac:dyDescent="0.25">
      <c r="A30" s="6"/>
      <c r="B30" s="245" t="s">
        <v>30</v>
      </c>
      <c r="C30" s="246"/>
      <c r="D30" s="246"/>
      <c r="E30" s="246"/>
      <c r="F30" s="246"/>
      <c r="G30" s="246"/>
      <c r="H30" s="246"/>
      <c r="I30" s="246"/>
      <c r="J30" s="246"/>
      <c r="K30" s="246"/>
      <c r="L30" s="247"/>
      <c r="M30" s="248" t="s">
        <v>156</v>
      </c>
      <c r="N30" s="249"/>
      <c r="O30" s="249"/>
      <c r="P30" s="249"/>
      <c r="Q30" s="249"/>
      <c r="R30" s="247"/>
      <c r="S30" s="103"/>
      <c r="T30" s="104"/>
      <c r="U30" s="99"/>
      <c r="V30" s="100"/>
      <c r="W30" s="216"/>
      <c r="X30" s="217"/>
      <c r="Y30" s="218"/>
      <c r="Z30" s="7"/>
    </row>
    <row r="31" spans="1:26" ht="12.75" customHeight="1" x14ac:dyDescent="0.2">
      <c r="A31" s="6"/>
      <c r="B31" s="248"/>
      <c r="C31" s="249"/>
      <c r="D31" s="249"/>
      <c r="E31" s="249"/>
      <c r="F31" s="249"/>
      <c r="G31" s="249"/>
      <c r="H31" s="249"/>
      <c r="I31" s="249"/>
      <c r="J31" s="249"/>
      <c r="K31" s="249"/>
      <c r="L31" s="250"/>
      <c r="M31" s="248"/>
      <c r="N31" s="249"/>
      <c r="O31" s="249"/>
      <c r="P31" s="249"/>
      <c r="Q31" s="249"/>
      <c r="R31" s="249"/>
      <c r="S31" s="128" t="s">
        <v>5</v>
      </c>
      <c r="T31" s="129"/>
      <c r="U31" s="129"/>
      <c r="V31" s="129"/>
      <c r="W31" s="129"/>
      <c r="X31" s="129"/>
      <c r="Y31" s="130"/>
      <c r="Z31" s="7"/>
    </row>
    <row r="32" spans="1:26" ht="12.75" customHeight="1" thickBot="1" x14ac:dyDescent="0.25">
      <c r="A32" s="6"/>
      <c r="B32" s="248"/>
      <c r="C32" s="249"/>
      <c r="D32" s="249"/>
      <c r="E32" s="249"/>
      <c r="F32" s="249"/>
      <c r="G32" s="249"/>
      <c r="H32" s="249"/>
      <c r="I32" s="249"/>
      <c r="J32" s="251"/>
      <c r="K32" s="251"/>
      <c r="L32" s="252"/>
      <c r="M32" s="255"/>
      <c r="N32" s="251"/>
      <c r="O32" s="251"/>
      <c r="P32" s="251"/>
      <c r="Q32" s="251"/>
      <c r="R32" s="251"/>
      <c r="S32" s="131"/>
      <c r="T32" s="132"/>
      <c r="U32" s="132"/>
      <c r="V32" s="132"/>
      <c r="W32" s="132"/>
      <c r="X32" s="132"/>
      <c r="Y32" s="133"/>
      <c r="Z32" s="7"/>
    </row>
    <row r="33" spans="1:26" ht="12.75" customHeight="1" x14ac:dyDescent="0.2">
      <c r="A33" s="6"/>
      <c r="B33" s="128" t="s">
        <v>153</v>
      </c>
      <c r="C33" s="129"/>
      <c r="D33" s="128" t="s">
        <v>154</v>
      </c>
      <c r="E33" s="129"/>
      <c r="F33" s="129"/>
      <c r="G33" s="129"/>
      <c r="H33" s="129"/>
      <c r="I33" s="130"/>
      <c r="J33" s="129" t="s">
        <v>155</v>
      </c>
      <c r="K33" s="129"/>
      <c r="L33" s="130"/>
      <c r="M33" s="128" t="s">
        <v>157</v>
      </c>
      <c r="N33" s="129"/>
      <c r="O33" s="130"/>
      <c r="P33" s="128" t="s">
        <v>158</v>
      </c>
      <c r="Q33" s="129"/>
      <c r="R33" s="129"/>
      <c r="S33" s="122" t="s">
        <v>227</v>
      </c>
      <c r="T33" s="123"/>
      <c r="U33" s="124"/>
      <c r="V33" s="122" t="s">
        <v>6</v>
      </c>
      <c r="W33" s="123"/>
      <c r="X33" s="123"/>
      <c r="Y33" s="124"/>
      <c r="Z33" s="7"/>
    </row>
    <row r="34" spans="1:26" ht="12.75" customHeight="1" thickBot="1" x14ac:dyDescent="0.25">
      <c r="A34" s="6"/>
      <c r="B34" s="170"/>
      <c r="C34" s="171"/>
      <c r="D34" s="170"/>
      <c r="E34" s="171"/>
      <c r="F34" s="171"/>
      <c r="G34" s="171"/>
      <c r="H34" s="171"/>
      <c r="I34" s="172"/>
      <c r="J34" s="171"/>
      <c r="K34" s="171"/>
      <c r="L34" s="172"/>
      <c r="M34" s="131"/>
      <c r="N34" s="132"/>
      <c r="O34" s="133"/>
      <c r="P34" s="131"/>
      <c r="Q34" s="132"/>
      <c r="R34" s="132"/>
      <c r="S34" s="125"/>
      <c r="T34" s="126"/>
      <c r="U34" s="127"/>
      <c r="V34" s="125"/>
      <c r="W34" s="126"/>
      <c r="X34" s="126"/>
      <c r="Y34" s="127"/>
      <c r="Z34" s="7"/>
    </row>
    <row r="35" spans="1:26" ht="12.75" customHeight="1" x14ac:dyDescent="0.2">
      <c r="A35" s="6"/>
      <c r="B35" s="143"/>
      <c r="C35" s="144"/>
      <c r="D35" s="145"/>
      <c r="E35" s="146"/>
      <c r="F35" s="146"/>
      <c r="G35" s="146"/>
      <c r="H35" s="146"/>
      <c r="I35" s="147"/>
      <c r="J35" s="148"/>
      <c r="K35" s="146"/>
      <c r="L35" s="147"/>
      <c r="M35" s="152"/>
      <c r="N35" s="152"/>
      <c r="O35" s="153"/>
      <c r="P35" s="158"/>
      <c r="Q35" s="152"/>
      <c r="R35" s="152"/>
      <c r="S35" s="134" t="e">
        <f>SUM($U$13:$V$30)-$W$20</f>
        <v>#REF!</v>
      </c>
      <c r="T35" s="135"/>
      <c r="U35" s="136"/>
      <c r="V35" s="134" t="e">
        <f>Purchasing!$K$11</f>
        <v>#REF!</v>
      </c>
      <c r="W35" s="135"/>
      <c r="X35" s="135"/>
      <c r="Y35" s="136"/>
      <c r="Z35" s="7"/>
    </row>
    <row r="36" spans="1:26" ht="12.75" customHeight="1" x14ac:dyDescent="0.2">
      <c r="A36" s="6"/>
      <c r="B36" s="116"/>
      <c r="C36" s="117"/>
      <c r="D36" s="118"/>
      <c r="E36" s="119"/>
      <c r="F36" s="119"/>
      <c r="G36" s="119"/>
      <c r="H36" s="119"/>
      <c r="I36" s="120"/>
      <c r="J36" s="121"/>
      <c r="K36" s="119"/>
      <c r="L36" s="120"/>
      <c r="M36" s="154"/>
      <c r="N36" s="154"/>
      <c r="O36" s="155"/>
      <c r="P36" s="159"/>
      <c r="Q36" s="154"/>
      <c r="R36" s="154"/>
      <c r="S36" s="137"/>
      <c r="T36" s="138"/>
      <c r="U36" s="139"/>
      <c r="V36" s="137"/>
      <c r="W36" s="138"/>
      <c r="X36" s="138"/>
      <c r="Y36" s="139"/>
      <c r="Z36" s="7"/>
    </row>
    <row r="37" spans="1:26" ht="12.75" customHeight="1" x14ac:dyDescent="0.2">
      <c r="A37" s="6"/>
      <c r="B37" s="116"/>
      <c r="C37" s="117"/>
      <c r="D37" s="118"/>
      <c r="E37" s="119"/>
      <c r="F37" s="119"/>
      <c r="G37" s="119"/>
      <c r="H37" s="119"/>
      <c r="I37" s="120"/>
      <c r="J37" s="121"/>
      <c r="K37" s="119"/>
      <c r="L37" s="120"/>
      <c r="M37" s="154"/>
      <c r="N37" s="154"/>
      <c r="O37" s="155"/>
      <c r="P37" s="159"/>
      <c r="Q37" s="154"/>
      <c r="R37" s="154"/>
      <c r="S37" s="137"/>
      <c r="T37" s="138"/>
      <c r="U37" s="139"/>
      <c r="V37" s="137"/>
      <c r="W37" s="138"/>
      <c r="X37" s="138"/>
      <c r="Y37" s="139"/>
      <c r="Z37" s="7"/>
    </row>
    <row r="38" spans="1:26" ht="12.75" customHeight="1" thickBot="1" x14ac:dyDescent="0.25">
      <c r="A38" s="6"/>
      <c r="B38" s="116"/>
      <c r="C38" s="117"/>
      <c r="D38" s="118"/>
      <c r="E38" s="119"/>
      <c r="F38" s="119"/>
      <c r="G38" s="119"/>
      <c r="H38" s="119"/>
      <c r="I38" s="120"/>
      <c r="J38" s="121"/>
      <c r="K38" s="119"/>
      <c r="L38" s="120"/>
      <c r="M38" s="154"/>
      <c r="N38" s="154"/>
      <c r="O38" s="155"/>
      <c r="P38" s="159"/>
      <c r="Q38" s="154"/>
      <c r="R38" s="154"/>
      <c r="S38" s="140"/>
      <c r="T38" s="141"/>
      <c r="U38" s="142"/>
      <c r="V38" s="140"/>
      <c r="W38" s="141"/>
      <c r="X38" s="141"/>
      <c r="Y38" s="142"/>
      <c r="Z38" s="7"/>
    </row>
    <row r="39" spans="1:26" ht="12.75" customHeight="1" thickBot="1" x14ac:dyDescent="0.25">
      <c r="A39" s="6"/>
      <c r="B39" s="116"/>
      <c r="C39" s="117"/>
      <c r="D39" s="118"/>
      <c r="E39" s="119"/>
      <c r="F39" s="119"/>
      <c r="G39" s="119"/>
      <c r="H39" s="119"/>
      <c r="I39" s="120"/>
      <c r="J39" s="121"/>
      <c r="K39" s="119"/>
      <c r="L39" s="120"/>
      <c r="M39" s="156"/>
      <c r="N39" s="156"/>
      <c r="O39" s="157"/>
      <c r="P39" s="160"/>
      <c r="Q39" s="156"/>
      <c r="R39" s="156"/>
      <c r="S39" s="122" t="s">
        <v>228</v>
      </c>
      <c r="T39" s="123"/>
      <c r="U39" s="123"/>
      <c r="V39" s="123"/>
      <c r="W39" s="123"/>
      <c r="X39" s="123"/>
      <c r="Y39" s="124"/>
      <c r="Z39" s="7"/>
    </row>
    <row r="40" spans="1:26" ht="12.75" customHeight="1" thickBot="1" x14ac:dyDescent="0.25">
      <c r="A40" s="6"/>
      <c r="B40" s="116"/>
      <c r="C40" s="117"/>
      <c r="D40" s="118"/>
      <c r="E40" s="119"/>
      <c r="F40" s="119"/>
      <c r="G40" s="119"/>
      <c r="H40" s="119"/>
      <c r="I40" s="120"/>
      <c r="J40" s="121"/>
      <c r="K40" s="119"/>
      <c r="L40" s="120"/>
      <c r="M40" s="129" t="s">
        <v>159</v>
      </c>
      <c r="N40" s="129"/>
      <c r="O40" s="130"/>
      <c r="P40" s="128" t="s">
        <v>160</v>
      </c>
      <c r="Q40" s="129"/>
      <c r="R40" s="129"/>
      <c r="S40" s="125"/>
      <c r="T40" s="126"/>
      <c r="U40" s="126"/>
      <c r="V40" s="126"/>
      <c r="W40" s="126"/>
      <c r="X40" s="126"/>
      <c r="Y40" s="127"/>
      <c r="Z40" s="7"/>
    </row>
    <row r="41" spans="1:26" ht="12.75" customHeight="1" thickBot="1" x14ac:dyDescent="0.25">
      <c r="A41" s="6"/>
      <c r="B41" s="116"/>
      <c r="C41" s="117"/>
      <c r="D41" s="118"/>
      <c r="E41" s="119"/>
      <c r="F41" s="119"/>
      <c r="G41" s="119"/>
      <c r="H41" s="119"/>
      <c r="I41" s="120"/>
      <c r="J41" s="121"/>
      <c r="K41" s="119"/>
      <c r="L41" s="120"/>
      <c r="M41" s="132"/>
      <c r="N41" s="132"/>
      <c r="O41" s="133"/>
      <c r="P41" s="131"/>
      <c r="Q41" s="132"/>
      <c r="R41" s="133"/>
      <c r="S41" s="201" t="e">
        <f>$V$35-$S$35</f>
        <v>#REF!</v>
      </c>
      <c r="T41" s="202"/>
      <c r="U41" s="202"/>
      <c r="V41" s="202"/>
      <c r="W41" s="202"/>
      <c r="X41" s="202"/>
      <c r="Y41" s="203"/>
      <c r="Z41" s="7"/>
    </row>
    <row r="42" spans="1:26" ht="12.75" customHeight="1" x14ac:dyDescent="0.2">
      <c r="A42" s="6"/>
      <c r="B42" s="116"/>
      <c r="C42" s="117"/>
      <c r="D42" s="118"/>
      <c r="E42" s="119"/>
      <c r="F42" s="119"/>
      <c r="G42" s="119"/>
      <c r="H42" s="119"/>
      <c r="I42" s="120"/>
      <c r="J42" s="121"/>
      <c r="K42" s="119"/>
      <c r="L42" s="120"/>
      <c r="M42" s="152"/>
      <c r="N42" s="152"/>
      <c r="O42" s="153"/>
      <c r="P42" s="158"/>
      <c r="Q42" s="152"/>
      <c r="R42" s="153"/>
      <c r="S42" s="204"/>
      <c r="T42" s="205"/>
      <c r="U42" s="205"/>
      <c r="V42" s="205"/>
      <c r="W42" s="205"/>
      <c r="X42" s="205"/>
      <c r="Y42" s="206"/>
      <c r="Z42" s="7"/>
    </row>
    <row r="43" spans="1:26" ht="12.75" customHeight="1" x14ac:dyDescent="0.2">
      <c r="A43" s="6"/>
      <c r="B43" s="116"/>
      <c r="C43" s="117"/>
      <c r="D43" s="118"/>
      <c r="E43" s="119"/>
      <c r="F43" s="119"/>
      <c r="G43" s="119"/>
      <c r="H43" s="119"/>
      <c r="I43" s="120"/>
      <c r="J43" s="121"/>
      <c r="K43" s="119"/>
      <c r="L43" s="120"/>
      <c r="M43" s="154"/>
      <c r="N43" s="154"/>
      <c r="O43" s="155"/>
      <c r="P43" s="159"/>
      <c r="Q43" s="154"/>
      <c r="R43" s="155"/>
      <c r="S43" s="204"/>
      <c r="T43" s="205"/>
      <c r="U43" s="205"/>
      <c r="V43" s="205"/>
      <c r="W43" s="205"/>
      <c r="X43" s="205"/>
      <c r="Y43" s="206"/>
      <c r="Z43" s="7"/>
    </row>
    <row r="44" spans="1:26" ht="12.75" customHeight="1" x14ac:dyDescent="0.2">
      <c r="A44" s="6"/>
      <c r="B44" s="116"/>
      <c r="C44" s="117"/>
      <c r="D44" s="118"/>
      <c r="E44" s="119"/>
      <c r="F44" s="119"/>
      <c r="G44" s="119"/>
      <c r="H44" s="119"/>
      <c r="I44" s="120"/>
      <c r="J44" s="121"/>
      <c r="K44" s="119"/>
      <c r="L44" s="120"/>
      <c r="M44" s="154"/>
      <c r="N44" s="154"/>
      <c r="O44" s="155"/>
      <c r="P44" s="159"/>
      <c r="Q44" s="154"/>
      <c r="R44" s="155"/>
      <c r="S44" s="204"/>
      <c r="T44" s="205"/>
      <c r="U44" s="205"/>
      <c r="V44" s="205"/>
      <c r="W44" s="205"/>
      <c r="X44" s="205"/>
      <c r="Y44" s="206"/>
      <c r="Z44" s="7"/>
    </row>
    <row r="45" spans="1:26" ht="12.75" customHeight="1" x14ac:dyDescent="0.2">
      <c r="A45" s="6"/>
      <c r="B45" s="116"/>
      <c r="C45" s="117"/>
      <c r="D45" s="118"/>
      <c r="E45" s="119"/>
      <c r="F45" s="119"/>
      <c r="G45" s="119"/>
      <c r="H45" s="119"/>
      <c r="I45" s="120"/>
      <c r="J45" s="121"/>
      <c r="K45" s="119"/>
      <c r="L45" s="120"/>
      <c r="M45" s="154"/>
      <c r="N45" s="154"/>
      <c r="O45" s="155"/>
      <c r="P45" s="159"/>
      <c r="Q45" s="154"/>
      <c r="R45" s="155"/>
      <c r="S45" s="204"/>
      <c r="T45" s="205"/>
      <c r="U45" s="205"/>
      <c r="V45" s="205"/>
      <c r="W45" s="205"/>
      <c r="X45" s="205"/>
      <c r="Y45" s="206"/>
      <c r="Z45" s="7"/>
    </row>
    <row r="46" spans="1:26" ht="12.75" customHeight="1" thickBot="1" x14ac:dyDescent="0.25">
      <c r="A46" s="6"/>
      <c r="B46" s="173"/>
      <c r="C46" s="174"/>
      <c r="D46" s="175"/>
      <c r="E46" s="176"/>
      <c r="F46" s="176"/>
      <c r="G46" s="176"/>
      <c r="H46" s="176"/>
      <c r="I46" s="177"/>
      <c r="J46" s="178"/>
      <c r="K46" s="176"/>
      <c r="L46" s="177"/>
      <c r="M46" s="156"/>
      <c r="N46" s="156"/>
      <c r="O46" s="157"/>
      <c r="P46" s="160"/>
      <c r="Q46" s="156"/>
      <c r="R46" s="157"/>
      <c r="S46" s="207"/>
      <c r="T46" s="208"/>
      <c r="U46" s="208"/>
      <c r="V46" s="208"/>
      <c r="W46" s="208"/>
      <c r="X46" s="208"/>
      <c r="Y46" s="209"/>
      <c r="Z46" s="7"/>
    </row>
    <row r="47" spans="1:26" ht="12.75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</sheetData>
  <mergeCells count="145">
    <mergeCell ref="N22:N25"/>
    <mergeCell ref="N26:N29"/>
    <mergeCell ref="Q5:Y7"/>
    <mergeCell ref="Q3:Y4"/>
    <mergeCell ref="J3:P3"/>
    <mergeCell ref="J4:P7"/>
    <mergeCell ref="B3:D7"/>
    <mergeCell ref="E3:I7"/>
    <mergeCell ref="G11:L12"/>
    <mergeCell ref="B11:F12"/>
    <mergeCell ref="M11:O12"/>
    <mergeCell ref="P11:R12"/>
    <mergeCell ref="S11:Y12"/>
    <mergeCell ref="S8:Y10"/>
    <mergeCell ref="M8:R10"/>
    <mergeCell ref="B8:L10"/>
    <mergeCell ref="P26:P29"/>
    <mergeCell ref="Q22:Q25"/>
    <mergeCell ref="B14:D15"/>
    <mergeCell ref="B17:D18"/>
    <mergeCell ref="B20:D21"/>
    <mergeCell ref="F17:G18"/>
    <mergeCell ref="B30:L32"/>
    <mergeCell ref="M18:R19"/>
    <mergeCell ref="M13:O17"/>
    <mergeCell ref="P13:R17"/>
    <mergeCell ref="K14:K15"/>
    <mergeCell ref="K16:K17"/>
    <mergeCell ref="K18:K19"/>
    <mergeCell ref="K20:K21"/>
    <mergeCell ref="M30:R32"/>
    <mergeCell ref="C28:E28"/>
    <mergeCell ref="E14:H15"/>
    <mergeCell ref="J14:J15"/>
    <mergeCell ref="J16:J17"/>
    <mergeCell ref="J18:J19"/>
    <mergeCell ref="J20:J21"/>
    <mergeCell ref="M20:O21"/>
    <mergeCell ref="P20:R21"/>
    <mergeCell ref="M26:M29"/>
    <mergeCell ref="S39:Y40"/>
    <mergeCell ref="S41:Y46"/>
    <mergeCell ref="W25:Y30"/>
    <mergeCell ref="W23:Y24"/>
    <mergeCell ref="W20:Y22"/>
    <mergeCell ref="D43:I43"/>
    <mergeCell ref="J43:L43"/>
    <mergeCell ref="B40:C40"/>
    <mergeCell ref="D40:I40"/>
    <mergeCell ref="J40:L40"/>
    <mergeCell ref="B41:C41"/>
    <mergeCell ref="D41:I41"/>
    <mergeCell ref="J41:L41"/>
    <mergeCell ref="B38:C38"/>
    <mergeCell ref="D38:I38"/>
    <mergeCell ref="J38:L38"/>
    <mergeCell ref="B39:C39"/>
    <mergeCell ref="D39:I39"/>
    <mergeCell ref="J39:L39"/>
    <mergeCell ref="M42:O46"/>
    <mergeCell ref="M33:O34"/>
    <mergeCell ref="P33:R34"/>
    <mergeCell ref="M40:O41"/>
    <mergeCell ref="P40:R41"/>
    <mergeCell ref="P42:R46"/>
    <mergeCell ref="B33:C34"/>
    <mergeCell ref="D33:I34"/>
    <mergeCell ref="J33:L34"/>
    <mergeCell ref="B46:C46"/>
    <mergeCell ref="D46:I46"/>
    <mergeCell ref="J46:L46"/>
    <mergeCell ref="E17:E18"/>
    <mergeCell ref="E20:H21"/>
    <mergeCell ref="H17:H18"/>
    <mergeCell ref="B44:C44"/>
    <mergeCell ref="D44:I44"/>
    <mergeCell ref="J44:L44"/>
    <mergeCell ref="B45:C45"/>
    <mergeCell ref="D45:I45"/>
    <mergeCell ref="J45:L45"/>
    <mergeCell ref="B42:C42"/>
    <mergeCell ref="D42:I42"/>
    <mergeCell ref="J42:L42"/>
    <mergeCell ref="B43:C43"/>
    <mergeCell ref="C23:E23"/>
    <mergeCell ref="C24:E24"/>
    <mergeCell ref="C25:E25"/>
    <mergeCell ref="C26:E26"/>
    <mergeCell ref="C27:E27"/>
    <mergeCell ref="M35:O39"/>
    <mergeCell ref="P35:R39"/>
    <mergeCell ref="H23:K23"/>
    <mergeCell ref="F23:G23"/>
    <mergeCell ref="F24:G24"/>
    <mergeCell ref="F25:G25"/>
    <mergeCell ref="F26:G26"/>
    <mergeCell ref="F27:G27"/>
    <mergeCell ref="F28:G28"/>
    <mergeCell ref="Q26:Q29"/>
    <mergeCell ref="R22:R25"/>
    <mergeCell ref="R26:R29"/>
    <mergeCell ref="D37:I37"/>
    <mergeCell ref="J37:L37"/>
    <mergeCell ref="H24:K24"/>
    <mergeCell ref="H25:K25"/>
    <mergeCell ref="H26:K26"/>
    <mergeCell ref="H27:K27"/>
    <mergeCell ref="H28:K28"/>
    <mergeCell ref="M22:M25"/>
    <mergeCell ref="O22:O25"/>
    <mergeCell ref="O26:O29"/>
    <mergeCell ref="P22:P25"/>
    <mergeCell ref="B36:C36"/>
    <mergeCell ref="D36:I36"/>
    <mergeCell ref="J36:L36"/>
    <mergeCell ref="B37:C37"/>
    <mergeCell ref="S33:U34"/>
    <mergeCell ref="V33:Y34"/>
    <mergeCell ref="S31:Y32"/>
    <mergeCell ref="S35:U38"/>
    <mergeCell ref="V35:Y38"/>
    <mergeCell ref="B35:C35"/>
    <mergeCell ref="D35:I35"/>
    <mergeCell ref="J35:L35"/>
    <mergeCell ref="U13:V14"/>
    <mergeCell ref="S15:T16"/>
    <mergeCell ref="U15:V16"/>
    <mergeCell ref="W18:Y19"/>
    <mergeCell ref="S29:T30"/>
    <mergeCell ref="U29:V30"/>
    <mergeCell ref="S17:T18"/>
    <mergeCell ref="U17:V18"/>
    <mergeCell ref="S19:T20"/>
    <mergeCell ref="U19:V20"/>
    <mergeCell ref="W15:Y17"/>
    <mergeCell ref="S13:T14"/>
    <mergeCell ref="U21:V22"/>
    <mergeCell ref="S23:T24"/>
    <mergeCell ref="U23:V24"/>
    <mergeCell ref="S25:T26"/>
    <mergeCell ref="U25:V26"/>
    <mergeCell ref="S27:T28"/>
    <mergeCell ref="U27:V28"/>
    <mergeCell ref="S21:T22"/>
    <mergeCell ref="W13:Y14"/>
  </mergeCells>
  <phoneticPr fontId="0" type="noConversion"/>
  <conditionalFormatting sqref="S41:Y46">
    <cfRule type="cellIs" dxfId="12" priority="1" operator="equal">
      <formula>0</formula>
    </cfRule>
    <cfRule type="cellIs" dxfId="11" priority="2" operator="greaterThanOrEqual">
      <formula>$V$35*0.1</formula>
    </cfRule>
    <cfRule type="cellIs" dxfId="10" priority="3" operator="lessThan">
      <formula>0</formula>
    </cfRule>
    <cfRule type="cellIs" dxfId="9" priority="4" operator="lessThan">
      <formula>$V$35*0.1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619B-0F37-4EE4-B577-F102EB8353E3}">
  <sheetPr>
    <tabColor rgb="FFFFFF00"/>
  </sheetPr>
  <dimension ref="A1:V21"/>
  <sheetViews>
    <sheetView workbookViewId="0"/>
  </sheetViews>
  <sheetFormatPr defaultRowHeight="12.75" x14ac:dyDescent="0.2"/>
  <sheetData>
    <row r="1" spans="1:2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214</v>
      </c>
      <c r="K1" t="s">
        <v>22</v>
      </c>
      <c r="L1" t="s">
        <v>23</v>
      </c>
      <c r="M1" t="s">
        <v>24</v>
      </c>
      <c r="N1" t="s">
        <v>215</v>
      </c>
      <c r="O1" t="s">
        <v>25</v>
      </c>
      <c r="P1" t="s">
        <v>216</v>
      </c>
      <c r="Q1" t="s">
        <v>26</v>
      </c>
      <c r="R1" t="s">
        <v>27</v>
      </c>
      <c r="S1" t="s">
        <v>28</v>
      </c>
      <c r="T1" t="s">
        <v>217</v>
      </c>
      <c r="U1" t="s">
        <v>218</v>
      </c>
      <c r="V1" t="s">
        <v>219</v>
      </c>
    </row>
    <row r="2" spans="1:22" x14ac:dyDescent="0.2">
      <c r="C2" t="s">
        <v>268</v>
      </c>
      <c r="D2" t="s">
        <v>269</v>
      </c>
      <c r="F2" t="s">
        <v>340</v>
      </c>
      <c r="I2" t="s">
        <v>340</v>
      </c>
      <c r="J2">
        <v>1</v>
      </c>
      <c r="L2" t="s">
        <v>340</v>
      </c>
    </row>
    <row r="3" spans="1:22" x14ac:dyDescent="0.2">
      <c r="A3" t="s">
        <v>31</v>
      </c>
      <c r="B3" t="s">
        <v>266</v>
      </c>
      <c r="C3" t="s">
        <v>267</v>
      </c>
      <c r="D3" t="s">
        <v>31</v>
      </c>
      <c r="E3" t="s">
        <v>31</v>
      </c>
      <c r="F3" t="s">
        <v>340</v>
      </c>
      <c r="G3">
        <v>1</v>
      </c>
      <c r="H3" t="s">
        <v>32</v>
      </c>
      <c r="I3" t="s">
        <v>33</v>
      </c>
      <c r="J3">
        <v>4</v>
      </c>
      <c r="K3" t="s">
        <v>34</v>
      </c>
      <c r="L3" t="s">
        <v>35</v>
      </c>
      <c r="M3" t="s">
        <v>36</v>
      </c>
      <c r="N3" t="s">
        <v>270</v>
      </c>
      <c r="O3" t="s">
        <v>37</v>
      </c>
      <c r="P3">
        <v>80</v>
      </c>
      <c r="Q3" t="s">
        <v>38</v>
      </c>
      <c r="R3" t="s">
        <v>31</v>
      </c>
      <c r="S3" t="s">
        <v>31</v>
      </c>
      <c r="T3">
        <v>110</v>
      </c>
      <c r="U3">
        <v>0.14399999999999999</v>
      </c>
      <c r="V3">
        <v>15.839999999999998</v>
      </c>
    </row>
    <row r="4" spans="1:22" x14ac:dyDescent="0.2">
      <c r="A4" t="s">
        <v>31</v>
      </c>
      <c r="B4" t="s">
        <v>266</v>
      </c>
      <c r="C4" t="s">
        <v>267</v>
      </c>
      <c r="D4" t="s">
        <v>31</v>
      </c>
      <c r="E4" t="s">
        <v>31</v>
      </c>
      <c r="F4" t="s">
        <v>340</v>
      </c>
      <c r="G4">
        <v>2</v>
      </c>
      <c r="H4" t="s">
        <v>32</v>
      </c>
      <c r="I4" t="s">
        <v>39</v>
      </c>
      <c r="J4">
        <v>2</v>
      </c>
      <c r="K4" t="s">
        <v>40</v>
      </c>
      <c r="L4" t="s">
        <v>41</v>
      </c>
      <c r="M4" t="s">
        <v>42</v>
      </c>
      <c r="N4" t="s">
        <v>270</v>
      </c>
      <c r="O4" t="s">
        <v>43</v>
      </c>
      <c r="P4">
        <v>40</v>
      </c>
      <c r="Q4" t="s">
        <v>44</v>
      </c>
      <c r="R4" t="s">
        <v>31</v>
      </c>
      <c r="S4" t="s">
        <v>31</v>
      </c>
      <c r="T4">
        <v>90</v>
      </c>
      <c r="U4">
        <v>4.8999999999999998E-3</v>
      </c>
      <c r="V4">
        <v>0.441</v>
      </c>
    </row>
    <row r="5" spans="1:22" x14ac:dyDescent="0.2">
      <c r="A5" t="s">
        <v>31</v>
      </c>
      <c r="B5" t="s">
        <v>266</v>
      </c>
      <c r="C5" t="s">
        <v>267</v>
      </c>
      <c r="D5" t="s">
        <v>31</v>
      </c>
      <c r="E5" t="s">
        <v>31</v>
      </c>
      <c r="F5" t="s">
        <v>340</v>
      </c>
      <c r="G5">
        <v>3</v>
      </c>
      <c r="H5" t="s">
        <v>32</v>
      </c>
      <c r="I5" t="s">
        <v>45</v>
      </c>
      <c r="J5">
        <v>1</v>
      </c>
      <c r="K5" t="s">
        <v>46</v>
      </c>
      <c r="L5" t="s">
        <v>47</v>
      </c>
      <c r="M5" t="s">
        <v>48</v>
      </c>
      <c r="N5" t="s">
        <v>270</v>
      </c>
      <c r="O5" t="s">
        <v>49</v>
      </c>
      <c r="P5">
        <v>20</v>
      </c>
      <c r="Q5" t="s">
        <v>50</v>
      </c>
      <c r="R5" t="s">
        <v>31</v>
      </c>
      <c r="S5" t="s">
        <v>31</v>
      </c>
      <c r="T5">
        <v>70</v>
      </c>
      <c r="U5">
        <v>2.5600000000000001E-2</v>
      </c>
      <c r="V5">
        <v>1.792</v>
      </c>
    </row>
    <row r="6" spans="1:22" x14ac:dyDescent="0.2">
      <c r="A6" t="s">
        <v>31</v>
      </c>
      <c r="B6" t="s">
        <v>266</v>
      </c>
      <c r="C6" t="s">
        <v>267</v>
      </c>
      <c r="D6" t="s">
        <v>31</v>
      </c>
      <c r="E6" t="s">
        <v>31</v>
      </c>
      <c r="F6" t="s">
        <v>340</v>
      </c>
      <c r="G6">
        <v>4</v>
      </c>
      <c r="H6" t="s">
        <v>32</v>
      </c>
      <c r="I6" t="s">
        <v>51</v>
      </c>
      <c r="J6">
        <v>2</v>
      </c>
      <c r="K6" t="s">
        <v>52</v>
      </c>
      <c r="L6" t="s">
        <v>53</v>
      </c>
      <c r="M6" t="s">
        <v>54</v>
      </c>
      <c r="N6" t="s">
        <v>270</v>
      </c>
      <c r="O6" t="s">
        <v>55</v>
      </c>
      <c r="P6">
        <v>40</v>
      </c>
      <c r="Q6" t="s">
        <v>56</v>
      </c>
      <c r="R6" t="s">
        <v>31</v>
      </c>
      <c r="S6" t="s">
        <v>31</v>
      </c>
      <c r="T6">
        <v>90</v>
      </c>
      <c r="U6">
        <v>9.7999999999999997E-3</v>
      </c>
      <c r="V6">
        <v>0.88200000000000001</v>
      </c>
    </row>
    <row r="7" spans="1:22" x14ac:dyDescent="0.2">
      <c r="A7" t="s">
        <v>31</v>
      </c>
      <c r="B7" t="s">
        <v>266</v>
      </c>
      <c r="C7" t="s">
        <v>267</v>
      </c>
      <c r="D7" t="s">
        <v>31</v>
      </c>
      <c r="E7" t="s">
        <v>31</v>
      </c>
      <c r="F7" t="s">
        <v>340</v>
      </c>
      <c r="G7">
        <v>5</v>
      </c>
      <c r="H7" t="s">
        <v>32</v>
      </c>
      <c r="I7" t="s">
        <v>57</v>
      </c>
      <c r="J7">
        <v>1</v>
      </c>
      <c r="K7" t="s">
        <v>58</v>
      </c>
      <c r="L7" t="s">
        <v>59</v>
      </c>
      <c r="M7" t="s">
        <v>60</v>
      </c>
      <c r="N7" t="s">
        <v>270</v>
      </c>
      <c r="O7" t="s">
        <v>61</v>
      </c>
      <c r="P7">
        <v>20</v>
      </c>
      <c r="Q7" t="s">
        <v>62</v>
      </c>
      <c r="R7" t="s">
        <v>31</v>
      </c>
      <c r="S7" t="s">
        <v>31</v>
      </c>
      <c r="T7">
        <v>70</v>
      </c>
      <c r="U7">
        <v>2.2599999999999999E-2</v>
      </c>
      <c r="V7">
        <v>1.5819999999999999</v>
      </c>
    </row>
    <row r="8" spans="1:22" x14ac:dyDescent="0.2">
      <c r="A8" t="s">
        <v>31</v>
      </c>
      <c r="B8" t="s">
        <v>266</v>
      </c>
      <c r="C8" t="s">
        <v>267</v>
      </c>
      <c r="D8" t="s">
        <v>31</v>
      </c>
      <c r="E8" t="s">
        <v>31</v>
      </c>
      <c r="F8" t="s">
        <v>340</v>
      </c>
      <c r="G8">
        <v>6</v>
      </c>
      <c r="H8" t="s">
        <v>32</v>
      </c>
      <c r="I8" t="s">
        <v>63</v>
      </c>
      <c r="J8">
        <v>6</v>
      </c>
      <c r="K8" t="s">
        <v>64</v>
      </c>
      <c r="L8" t="s">
        <v>65</v>
      </c>
      <c r="M8" t="s">
        <v>66</v>
      </c>
      <c r="N8" t="s">
        <v>271</v>
      </c>
      <c r="O8" t="s">
        <v>68</v>
      </c>
      <c r="P8">
        <v>120</v>
      </c>
      <c r="Q8" t="s">
        <v>69</v>
      </c>
      <c r="R8" t="s">
        <v>31</v>
      </c>
      <c r="S8" t="s">
        <v>31</v>
      </c>
      <c r="T8">
        <v>140</v>
      </c>
      <c r="U8">
        <v>0.25469999999999998</v>
      </c>
      <c r="V8">
        <v>35.657999999999994</v>
      </c>
    </row>
    <row r="9" spans="1:22" x14ac:dyDescent="0.2">
      <c r="A9" t="s">
        <v>31</v>
      </c>
      <c r="B9" t="s">
        <v>266</v>
      </c>
      <c r="C9" t="s">
        <v>267</v>
      </c>
      <c r="D9" t="s">
        <v>31</v>
      </c>
      <c r="E9" t="s">
        <v>31</v>
      </c>
      <c r="F9" t="s">
        <v>340</v>
      </c>
      <c r="G9">
        <v>7</v>
      </c>
      <c r="H9" t="s">
        <v>32</v>
      </c>
      <c r="I9" t="s">
        <v>70</v>
      </c>
      <c r="J9">
        <v>2</v>
      </c>
      <c r="K9" t="s">
        <v>71</v>
      </c>
      <c r="L9" t="s">
        <v>72</v>
      </c>
      <c r="M9" t="s">
        <v>73</v>
      </c>
      <c r="N9" t="s">
        <v>270</v>
      </c>
      <c r="O9" t="s">
        <v>74</v>
      </c>
      <c r="P9">
        <v>40</v>
      </c>
      <c r="Q9" t="s">
        <v>75</v>
      </c>
      <c r="R9" t="s">
        <v>31</v>
      </c>
      <c r="S9" t="s">
        <v>31</v>
      </c>
      <c r="T9">
        <v>90</v>
      </c>
      <c r="U9">
        <v>9.7999999999999997E-3</v>
      </c>
      <c r="V9">
        <v>0.88200000000000001</v>
      </c>
    </row>
    <row r="10" spans="1:22" x14ac:dyDescent="0.2">
      <c r="A10" t="s">
        <v>31</v>
      </c>
      <c r="B10" t="s">
        <v>266</v>
      </c>
      <c r="C10" t="s">
        <v>267</v>
      </c>
      <c r="D10" t="s">
        <v>31</v>
      </c>
      <c r="E10" t="s">
        <v>31</v>
      </c>
      <c r="F10" t="s">
        <v>340</v>
      </c>
      <c r="G10">
        <v>8</v>
      </c>
      <c r="H10" t="s">
        <v>32</v>
      </c>
      <c r="I10" t="s">
        <v>76</v>
      </c>
      <c r="J10">
        <v>1</v>
      </c>
      <c r="K10" t="s">
        <v>77</v>
      </c>
      <c r="L10" t="s">
        <v>78</v>
      </c>
      <c r="M10" t="s">
        <v>79</v>
      </c>
      <c r="N10" t="s">
        <v>270</v>
      </c>
      <c r="O10" t="s">
        <v>80</v>
      </c>
      <c r="P10">
        <v>20</v>
      </c>
      <c r="Q10" t="s">
        <v>81</v>
      </c>
      <c r="R10" t="s">
        <v>31</v>
      </c>
      <c r="S10" t="s">
        <v>31</v>
      </c>
      <c r="T10">
        <v>30</v>
      </c>
      <c r="U10">
        <v>6.83E-2</v>
      </c>
      <c r="V10">
        <v>2.0489999999999999</v>
      </c>
    </row>
    <row r="11" spans="1:22" x14ac:dyDescent="0.2">
      <c r="A11" t="s">
        <v>31</v>
      </c>
      <c r="B11" t="s">
        <v>266</v>
      </c>
      <c r="C11" t="s">
        <v>267</v>
      </c>
      <c r="D11" t="s">
        <v>31</v>
      </c>
      <c r="E11" t="s">
        <v>31</v>
      </c>
      <c r="F11" t="s">
        <v>340</v>
      </c>
      <c r="G11">
        <v>9</v>
      </c>
      <c r="H11" t="s">
        <v>32</v>
      </c>
      <c r="I11" t="s">
        <v>82</v>
      </c>
      <c r="J11">
        <v>1</v>
      </c>
      <c r="K11" t="s">
        <v>83</v>
      </c>
      <c r="L11" t="s">
        <v>84</v>
      </c>
      <c r="M11" t="s">
        <v>85</v>
      </c>
      <c r="N11" t="s">
        <v>308</v>
      </c>
      <c r="O11" t="s">
        <v>309</v>
      </c>
      <c r="P11">
        <v>20</v>
      </c>
      <c r="Q11" t="s">
        <v>309</v>
      </c>
      <c r="R11" t="s">
        <v>31</v>
      </c>
      <c r="S11" t="s">
        <v>31</v>
      </c>
      <c r="T11">
        <v>20</v>
      </c>
      <c r="U11">
        <v>66.39</v>
      </c>
      <c r="V11">
        <v>1327.8</v>
      </c>
    </row>
    <row r="12" spans="1:22" x14ac:dyDescent="0.2">
      <c r="A12" t="s">
        <v>31</v>
      </c>
      <c r="B12" t="s">
        <v>266</v>
      </c>
      <c r="C12" t="s">
        <v>267</v>
      </c>
      <c r="D12" t="s">
        <v>31</v>
      </c>
      <c r="E12" t="s">
        <v>31</v>
      </c>
      <c r="F12" t="s">
        <v>340</v>
      </c>
      <c r="G12">
        <v>10</v>
      </c>
      <c r="H12" t="s">
        <v>32</v>
      </c>
      <c r="I12" t="s">
        <v>86</v>
      </c>
      <c r="J12">
        <v>1</v>
      </c>
      <c r="K12" t="s">
        <v>87</v>
      </c>
      <c r="L12" t="s">
        <v>88</v>
      </c>
      <c r="M12" t="s">
        <v>89</v>
      </c>
      <c r="N12" t="s">
        <v>290</v>
      </c>
      <c r="O12" t="s">
        <v>291</v>
      </c>
      <c r="P12">
        <v>20</v>
      </c>
      <c r="Q12" t="s">
        <v>291</v>
      </c>
      <c r="R12" t="s">
        <v>31</v>
      </c>
      <c r="S12" t="s">
        <v>31</v>
      </c>
      <c r="T12">
        <v>25</v>
      </c>
      <c r="U12">
        <v>1.68</v>
      </c>
      <c r="V12">
        <v>42</v>
      </c>
    </row>
    <row r="13" spans="1:22" x14ac:dyDescent="0.2">
      <c r="A13" t="s">
        <v>31</v>
      </c>
      <c r="B13" t="s">
        <v>266</v>
      </c>
      <c r="C13" t="s">
        <v>267</v>
      </c>
      <c r="D13" t="s">
        <v>31</v>
      </c>
      <c r="E13" t="s">
        <v>31</v>
      </c>
      <c r="F13" t="s">
        <v>340</v>
      </c>
      <c r="G13">
        <v>11</v>
      </c>
      <c r="H13" t="s">
        <v>32</v>
      </c>
      <c r="I13" t="s">
        <v>90</v>
      </c>
      <c r="J13">
        <v>1</v>
      </c>
      <c r="K13" t="s">
        <v>91</v>
      </c>
      <c r="L13" t="s">
        <v>92</v>
      </c>
      <c r="M13" t="s">
        <v>93</v>
      </c>
      <c r="N13" t="s">
        <v>290</v>
      </c>
      <c r="O13" t="s">
        <v>289</v>
      </c>
      <c r="P13">
        <v>20</v>
      </c>
      <c r="Q13" t="s">
        <v>289</v>
      </c>
      <c r="R13" t="s">
        <v>31</v>
      </c>
      <c r="S13" t="s">
        <v>31</v>
      </c>
      <c r="T13">
        <v>25</v>
      </c>
      <c r="U13">
        <v>1.68</v>
      </c>
      <c r="V13">
        <v>42</v>
      </c>
    </row>
    <row r="14" spans="1:22" x14ac:dyDescent="0.2">
      <c r="A14" t="s">
        <v>31</v>
      </c>
      <c r="B14" t="s">
        <v>266</v>
      </c>
      <c r="C14" t="s">
        <v>267</v>
      </c>
      <c r="D14" t="s">
        <v>31</v>
      </c>
      <c r="E14" t="s">
        <v>31</v>
      </c>
      <c r="F14" t="s">
        <v>340</v>
      </c>
      <c r="G14">
        <v>12</v>
      </c>
      <c r="H14" t="s">
        <v>32</v>
      </c>
      <c r="I14" t="s">
        <v>94</v>
      </c>
      <c r="J14">
        <v>1</v>
      </c>
      <c r="K14" t="s">
        <v>95</v>
      </c>
      <c r="L14" t="s">
        <v>96</v>
      </c>
      <c r="M14" t="s">
        <v>97</v>
      </c>
      <c r="N14" t="s">
        <v>270</v>
      </c>
      <c r="O14" t="s">
        <v>98</v>
      </c>
      <c r="P14">
        <v>20</v>
      </c>
      <c r="Q14" t="s">
        <v>99</v>
      </c>
      <c r="R14" t="s">
        <v>31</v>
      </c>
      <c r="S14" t="s">
        <v>31</v>
      </c>
      <c r="T14">
        <v>30</v>
      </c>
      <c r="U14">
        <v>0.32100000000000001</v>
      </c>
      <c r="V14">
        <v>9.6300000000000008</v>
      </c>
    </row>
    <row r="15" spans="1:22" x14ac:dyDescent="0.2">
      <c r="A15" t="s">
        <v>31</v>
      </c>
      <c r="B15" t="s">
        <v>266</v>
      </c>
      <c r="C15" t="s">
        <v>267</v>
      </c>
      <c r="D15" t="s">
        <v>31</v>
      </c>
      <c r="E15" t="s">
        <v>31</v>
      </c>
      <c r="F15" t="s">
        <v>340</v>
      </c>
      <c r="G15">
        <v>13</v>
      </c>
      <c r="H15" t="s">
        <v>32</v>
      </c>
      <c r="I15" t="s">
        <v>100</v>
      </c>
      <c r="J15">
        <v>3</v>
      </c>
      <c r="K15" t="s">
        <v>101</v>
      </c>
      <c r="L15" t="s">
        <v>102</v>
      </c>
      <c r="M15" t="s">
        <v>103</v>
      </c>
      <c r="N15" t="s">
        <v>270</v>
      </c>
      <c r="O15" t="s">
        <v>104</v>
      </c>
      <c r="P15">
        <v>60</v>
      </c>
      <c r="Q15" t="s">
        <v>105</v>
      </c>
      <c r="R15" t="s">
        <v>31</v>
      </c>
      <c r="S15" t="s">
        <v>31</v>
      </c>
      <c r="T15">
        <v>110</v>
      </c>
      <c r="U15">
        <v>3.5999999999999999E-3</v>
      </c>
      <c r="V15">
        <v>0.39599999999999996</v>
      </c>
    </row>
    <row r="16" spans="1:22" x14ac:dyDescent="0.2">
      <c r="A16" t="s">
        <v>31</v>
      </c>
      <c r="B16" t="s">
        <v>266</v>
      </c>
      <c r="C16" t="s">
        <v>267</v>
      </c>
      <c r="D16" t="s">
        <v>31</v>
      </c>
      <c r="E16" t="s">
        <v>31</v>
      </c>
      <c r="F16" t="s">
        <v>340</v>
      </c>
      <c r="G16">
        <v>14</v>
      </c>
      <c r="H16" t="s">
        <v>32</v>
      </c>
      <c r="I16" t="s">
        <v>106</v>
      </c>
      <c r="J16">
        <v>1</v>
      </c>
      <c r="K16" t="s">
        <v>107</v>
      </c>
      <c r="L16" t="s">
        <v>108</v>
      </c>
      <c r="M16" t="s">
        <v>109</v>
      </c>
      <c r="N16" t="s">
        <v>271</v>
      </c>
      <c r="O16" t="s">
        <v>110</v>
      </c>
      <c r="P16">
        <v>20</v>
      </c>
      <c r="Q16" t="s">
        <v>111</v>
      </c>
      <c r="R16" t="s">
        <v>31</v>
      </c>
      <c r="S16" t="s">
        <v>31</v>
      </c>
      <c r="T16">
        <v>100</v>
      </c>
      <c r="U16">
        <v>0.1018</v>
      </c>
      <c r="V16">
        <v>10.18</v>
      </c>
    </row>
    <row r="17" spans="1:22" x14ac:dyDescent="0.2">
      <c r="A17" t="s">
        <v>31</v>
      </c>
      <c r="B17" t="s">
        <v>266</v>
      </c>
      <c r="C17" t="s">
        <v>267</v>
      </c>
      <c r="D17" t="s">
        <v>31</v>
      </c>
      <c r="E17" t="s">
        <v>31</v>
      </c>
      <c r="F17" t="s">
        <v>340</v>
      </c>
      <c r="G17">
        <v>15</v>
      </c>
      <c r="H17" t="s">
        <v>32</v>
      </c>
      <c r="I17" t="s">
        <v>112</v>
      </c>
      <c r="J17">
        <v>1</v>
      </c>
      <c r="K17" t="s">
        <v>113</v>
      </c>
      <c r="L17" t="s">
        <v>114</v>
      </c>
      <c r="M17" t="s">
        <v>115</v>
      </c>
      <c r="N17" t="s">
        <v>270</v>
      </c>
      <c r="O17" t="s">
        <v>116</v>
      </c>
      <c r="P17">
        <v>20</v>
      </c>
      <c r="Q17" t="s">
        <v>117</v>
      </c>
      <c r="R17" t="s">
        <v>31</v>
      </c>
      <c r="S17" t="s">
        <v>31</v>
      </c>
      <c r="T17">
        <v>60</v>
      </c>
      <c r="U17">
        <v>0.01</v>
      </c>
      <c r="V17">
        <v>0.6</v>
      </c>
    </row>
    <row r="18" spans="1:22" x14ac:dyDescent="0.2">
      <c r="A18" t="s">
        <v>31</v>
      </c>
      <c r="B18" t="s">
        <v>266</v>
      </c>
      <c r="C18" t="s">
        <v>267</v>
      </c>
      <c r="D18" t="s">
        <v>31</v>
      </c>
      <c r="E18" t="s">
        <v>31</v>
      </c>
      <c r="F18" t="s">
        <v>340</v>
      </c>
      <c r="G18">
        <v>16</v>
      </c>
      <c r="H18" t="s">
        <v>32</v>
      </c>
      <c r="I18" t="s">
        <v>118</v>
      </c>
      <c r="J18">
        <v>1</v>
      </c>
      <c r="K18" t="s">
        <v>119</v>
      </c>
      <c r="L18" t="s">
        <v>120</v>
      </c>
      <c r="M18" t="s">
        <v>121</v>
      </c>
      <c r="N18" t="s">
        <v>270</v>
      </c>
      <c r="O18" t="s">
        <v>122</v>
      </c>
      <c r="P18">
        <v>20</v>
      </c>
      <c r="Q18" t="s">
        <v>123</v>
      </c>
      <c r="R18" t="s">
        <v>31</v>
      </c>
      <c r="S18" t="s">
        <v>31</v>
      </c>
      <c r="T18">
        <v>70</v>
      </c>
      <c r="U18">
        <v>3.6900000000000002E-2</v>
      </c>
      <c r="V18">
        <v>2.5830000000000002</v>
      </c>
    </row>
    <row r="19" spans="1:22" x14ac:dyDescent="0.2">
      <c r="A19" t="s">
        <v>31</v>
      </c>
      <c r="B19" t="s">
        <v>266</v>
      </c>
      <c r="C19" t="s">
        <v>267</v>
      </c>
      <c r="D19" t="s">
        <v>31</v>
      </c>
      <c r="E19" t="s">
        <v>31</v>
      </c>
      <c r="F19" t="s">
        <v>340</v>
      </c>
      <c r="G19">
        <v>17</v>
      </c>
      <c r="H19" t="s">
        <v>32</v>
      </c>
      <c r="I19" t="s">
        <v>124</v>
      </c>
      <c r="J19">
        <v>1</v>
      </c>
      <c r="K19" t="s">
        <v>125</v>
      </c>
      <c r="L19" t="s">
        <v>126</v>
      </c>
      <c r="M19" t="s">
        <v>127</v>
      </c>
      <c r="N19" t="s">
        <v>271</v>
      </c>
      <c r="O19" t="s">
        <v>128</v>
      </c>
      <c r="P19">
        <v>20</v>
      </c>
      <c r="Q19" t="s">
        <v>129</v>
      </c>
      <c r="R19" t="s">
        <v>31</v>
      </c>
      <c r="S19" t="s">
        <v>31</v>
      </c>
      <c r="T19">
        <v>100</v>
      </c>
      <c r="U19">
        <v>0.29670000000000002</v>
      </c>
      <c r="V19">
        <v>29.67</v>
      </c>
    </row>
    <row r="20" spans="1:22" x14ac:dyDescent="0.2">
      <c r="A20" t="s">
        <v>31</v>
      </c>
      <c r="B20" t="s">
        <v>266</v>
      </c>
      <c r="C20" t="s">
        <v>267</v>
      </c>
      <c r="D20" t="s">
        <v>31</v>
      </c>
      <c r="E20" t="s">
        <v>31</v>
      </c>
      <c r="F20" t="s">
        <v>340</v>
      </c>
      <c r="G20">
        <v>18</v>
      </c>
      <c r="H20" t="s">
        <v>32</v>
      </c>
      <c r="I20" t="s">
        <v>130</v>
      </c>
      <c r="J20">
        <v>1</v>
      </c>
      <c r="K20" t="s">
        <v>131</v>
      </c>
      <c r="L20" t="s">
        <v>132</v>
      </c>
      <c r="M20" t="s">
        <v>133</v>
      </c>
      <c r="N20" t="s">
        <v>270</v>
      </c>
      <c r="O20" t="s">
        <v>134</v>
      </c>
      <c r="P20">
        <v>20</v>
      </c>
      <c r="Q20" t="s">
        <v>135</v>
      </c>
      <c r="R20" t="s">
        <v>31</v>
      </c>
      <c r="S20" t="s">
        <v>31</v>
      </c>
      <c r="T20">
        <v>70</v>
      </c>
      <c r="U20">
        <v>7.5999999999999998E-2</v>
      </c>
      <c r="V20">
        <v>5.32</v>
      </c>
    </row>
    <row r="21" spans="1:22" x14ac:dyDescent="0.2">
      <c r="A21" t="s">
        <v>31</v>
      </c>
      <c r="B21" t="s">
        <v>266</v>
      </c>
      <c r="C21" t="s">
        <v>267</v>
      </c>
      <c r="D21" t="s">
        <v>31</v>
      </c>
      <c r="E21" t="s">
        <v>31</v>
      </c>
      <c r="F21" t="s">
        <v>340</v>
      </c>
      <c r="G21">
        <v>19</v>
      </c>
      <c r="H21" t="s">
        <v>32</v>
      </c>
      <c r="I21" t="s">
        <v>136</v>
      </c>
      <c r="J21">
        <v>1</v>
      </c>
      <c r="K21" t="s">
        <v>137</v>
      </c>
      <c r="L21" t="s">
        <v>138</v>
      </c>
      <c r="M21" t="s">
        <v>139</v>
      </c>
      <c r="N21" t="s">
        <v>271</v>
      </c>
      <c r="O21" t="s">
        <v>140</v>
      </c>
      <c r="P21">
        <v>20</v>
      </c>
      <c r="Q21" t="s">
        <v>141</v>
      </c>
      <c r="R21" t="s">
        <v>31</v>
      </c>
      <c r="S21" t="s">
        <v>31</v>
      </c>
      <c r="T21">
        <v>20</v>
      </c>
      <c r="U21">
        <v>8.6140000000000008</v>
      </c>
      <c r="V21">
        <v>172.28000000000003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L34"/>
  <sheetViews>
    <sheetView tabSelected="1" zoomScale="87" zoomScaleNormal="87" workbookViewId="0">
      <pane ySplit="1" topLeftCell="A2" activePane="bottomLeft" state="frozenSplit"/>
      <selection activeCell="I1" sqref="I1"/>
      <selection pane="bottomLeft" activeCell="A2" sqref="A2"/>
    </sheetView>
  </sheetViews>
  <sheetFormatPr defaultColWidth="11.5703125" defaultRowHeight="12.75" x14ac:dyDescent="0.2"/>
  <cols>
    <col min="1" max="1" width="7.140625" style="17" customWidth="1"/>
    <col min="2" max="2" width="24.28515625" style="17" customWidth="1"/>
    <col min="3" max="3" width="62.42578125" style="17" customWidth="1"/>
    <col min="4" max="4" width="25" style="20" bestFit="1" customWidth="1"/>
    <col min="5" max="16384" width="11.5703125" style="17"/>
  </cols>
  <sheetData>
    <row r="1" spans="1:4" x14ac:dyDescent="0.2">
      <c r="A1" s="46" t="s">
        <v>214</v>
      </c>
      <c r="B1" s="45" t="s">
        <v>346</v>
      </c>
      <c r="C1" s="45" t="s">
        <v>23</v>
      </c>
      <c r="D1" s="45" t="s">
        <v>345</v>
      </c>
    </row>
    <row r="2" spans="1:4" ht="20.100000000000001" customHeight="1" x14ac:dyDescent="0.2">
      <c r="A2" s="44">
        <v>2</v>
      </c>
      <c r="B2" s="48" t="s">
        <v>34</v>
      </c>
      <c r="C2" s="48" t="s">
        <v>35</v>
      </c>
      <c r="D2" s="43" t="s">
        <v>37</v>
      </c>
    </row>
    <row r="3" spans="1:4" ht="20.100000000000001" customHeight="1" x14ac:dyDescent="0.2">
      <c r="A3" s="44">
        <v>2</v>
      </c>
      <c r="B3" s="48" t="s">
        <v>40</v>
      </c>
      <c r="C3" s="89" t="s">
        <v>347</v>
      </c>
      <c r="D3" s="43" t="s">
        <v>43</v>
      </c>
    </row>
    <row r="4" spans="1:4" ht="20.100000000000001" customHeight="1" x14ac:dyDescent="0.2">
      <c r="A4" s="44">
        <v>1</v>
      </c>
      <c r="B4" s="48" t="s">
        <v>46</v>
      </c>
      <c r="C4" s="89" t="s">
        <v>348</v>
      </c>
      <c r="D4" s="43" t="s">
        <v>49</v>
      </c>
    </row>
    <row r="5" spans="1:4" ht="20.100000000000001" customHeight="1" x14ac:dyDescent="0.2">
      <c r="A5" s="44">
        <v>2</v>
      </c>
      <c r="B5" s="48" t="s">
        <v>52</v>
      </c>
      <c r="C5" s="48" t="s">
        <v>53</v>
      </c>
      <c r="D5" s="43" t="s">
        <v>55</v>
      </c>
    </row>
    <row r="6" spans="1:4" ht="20.100000000000001" customHeight="1" x14ac:dyDescent="0.2">
      <c r="A6" s="44">
        <v>1</v>
      </c>
      <c r="B6" s="48" t="s">
        <v>58</v>
      </c>
      <c r="C6" s="48" t="s">
        <v>59</v>
      </c>
      <c r="D6" s="43" t="s">
        <v>61</v>
      </c>
    </row>
    <row r="7" spans="1:4" ht="20.100000000000001" customHeight="1" x14ac:dyDescent="0.2">
      <c r="A7" s="44">
        <v>6</v>
      </c>
      <c r="B7" s="48" t="s">
        <v>64</v>
      </c>
      <c r="C7" s="89" t="s">
        <v>349</v>
      </c>
      <c r="D7" s="43" t="s">
        <v>68</v>
      </c>
    </row>
    <row r="8" spans="1:4" ht="20.100000000000001" customHeight="1" x14ac:dyDescent="0.2">
      <c r="A8" s="44">
        <v>2</v>
      </c>
      <c r="B8" s="48" t="s">
        <v>71</v>
      </c>
      <c r="C8" s="48" t="s">
        <v>72</v>
      </c>
      <c r="D8" s="43" t="s">
        <v>74</v>
      </c>
    </row>
    <row r="9" spans="1:4" ht="20.100000000000001" customHeight="1" x14ac:dyDescent="0.2">
      <c r="A9" s="44">
        <v>1</v>
      </c>
      <c r="B9" s="48" t="s">
        <v>77</v>
      </c>
      <c r="C9" s="48" t="s">
        <v>78</v>
      </c>
      <c r="D9" s="43" t="s">
        <v>80</v>
      </c>
    </row>
    <row r="10" spans="1:4" ht="20.100000000000001" customHeight="1" x14ac:dyDescent="0.2">
      <c r="A10" s="44">
        <v>1</v>
      </c>
      <c r="B10" s="48" t="s">
        <v>83</v>
      </c>
      <c r="C10" s="89" t="s">
        <v>355</v>
      </c>
      <c r="D10" s="90" t="s">
        <v>309</v>
      </c>
    </row>
    <row r="11" spans="1:4" ht="20.100000000000001" customHeight="1" x14ac:dyDescent="0.2">
      <c r="A11" s="44">
        <v>1</v>
      </c>
      <c r="B11" s="48" t="s">
        <v>87</v>
      </c>
      <c r="C11" s="89" t="s">
        <v>350</v>
      </c>
      <c r="D11" s="90" t="s">
        <v>291</v>
      </c>
    </row>
    <row r="12" spans="1:4" ht="20.100000000000001" customHeight="1" x14ac:dyDescent="0.2">
      <c r="A12" s="44">
        <v>1</v>
      </c>
      <c r="B12" s="48" t="s">
        <v>91</v>
      </c>
      <c r="C12" s="89" t="s">
        <v>351</v>
      </c>
      <c r="D12" s="90" t="s">
        <v>289</v>
      </c>
    </row>
    <row r="13" spans="1:4" ht="20.100000000000001" customHeight="1" x14ac:dyDescent="0.2">
      <c r="A13" s="44">
        <v>1</v>
      </c>
      <c r="B13" s="48" t="s">
        <v>95</v>
      </c>
      <c r="C13" s="89" t="s">
        <v>352</v>
      </c>
      <c r="D13" s="43" t="s">
        <v>98</v>
      </c>
    </row>
    <row r="14" spans="1:4" ht="20.100000000000001" customHeight="1" x14ac:dyDescent="0.2">
      <c r="A14" s="44">
        <v>3</v>
      </c>
      <c r="B14" s="48" t="s">
        <v>101</v>
      </c>
      <c r="C14" s="48" t="s">
        <v>102</v>
      </c>
      <c r="D14" s="43" t="s">
        <v>104</v>
      </c>
    </row>
    <row r="15" spans="1:4" ht="20.100000000000001" customHeight="1" x14ac:dyDescent="0.2">
      <c r="A15" s="44">
        <v>1</v>
      </c>
      <c r="B15" s="48" t="s">
        <v>107</v>
      </c>
      <c r="C15" s="48" t="s">
        <v>335</v>
      </c>
      <c r="D15" s="43" t="s">
        <v>110</v>
      </c>
    </row>
    <row r="16" spans="1:4" ht="20.100000000000001" customHeight="1" x14ac:dyDescent="0.2">
      <c r="A16" s="44">
        <v>1</v>
      </c>
      <c r="B16" s="48" t="s">
        <v>113</v>
      </c>
      <c r="C16" s="48" t="s">
        <v>114</v>
      </c>
      <c r="D16" s="43" t="s">
        <v>116</v>
      </c>
    </row>
    <row r="17" spans="1:12" ht="20.100000000000001" customHeight="1" x14ac:dyDescent="0.2">
      <c r="A17" s="44">
        <v>1</v>
      </c>
      <c r="B17" s="48" t="s">
        <v>119</v>
      </c>
      <c r="C17" s="48" t="s">
        <v>353</v>
      </c>
      <c r="D17" s="43" t="s">
        <v>122</v>
      </c>
    </row>
    <row r="18" spans="1:12" ht="20.100000000000001" customHeight="1" x14ac:dyDescent="0.2">
      <c r="A18" s="44">
        <v>1</v>
      </c>
      <c r="B18" s="48" t="s">
        <v>125</v>
      </c>
      <c r="C18" s="48" t="s">
        <v>336</v>
      </c>
      <c r="D18" s="90" t="s">
        <v>128</v>
      </c>
    </row>
    <row r="19" spans="1:12" ht="20.100000000000001" customHeight="1" x14ac:dyDescent="0.2">
      <c r="A19" s="44">
        <v>1</v>
      </c>
      <c r="B19" s="48" t="s">
        <v>131</v>
      </c>
      <c r="C19" s="48" t="s">
        <v>132</v>
      </c>
      <c r="D19" s="43" t="s">
        <v>134</v>
      </c>
    </row>
    <row r="20" spans="1:12" ht="20.100000000000001" customHeight="1" thickBot="1" x14ac:dyDescent="0.25">
      <c r="A20" s="47">
        <v>1</v>
      </c>
      <c r="B20" s="49" t="s">
        <v>137</v>
      </c>
      <c r="C20" s="95" t="s">
        <v>354</v>
      </c>
      <c r="D20" s="91" t="s">
        <v>140</v>
      </c>
    </row>
    <row r="21" spans="1:12" x14ac:dyDescent="0.2">
      <c r="B21" s="96" t="s">
        <v>356</v>
      </c>
      <c r="C21" s="96"/>
      <c r="D21" s="96" t="s">
        <v>360</v>
      </c>
      <c r="E21" s="96"/>
    </row>
    <row r="22" spans="1:12" x14ac:dyDescent="0.2">
      <c r="B22" s="96" t="s">
        <v>357</v>
      </c>
      <c r="C22" s="96"/>
      <c r="D22" s="96"/>
      <c r="E22" s="96"/>
    </row>
    <row r="23" spans="1:12" x14ac:dyDescent="0.2">
      <c r="B23" s="96" t="s">
        <v>358</v>
      </c>
      <c r="C23" s="96"/>
      <c r="D23" s="96"/>
      <c r="E23" s="96"/>
      <c r="I23"/>
      <c r="J23"/>
      <c r="K23"/>
      <c r="L23"/>
    </row>
    <row r="24" spans="1:12" x14ac:dyDescent="0.2">
      <c r="B24" s="96" t="s">
        <v>359</v>
      </c>
      <c r="C24" s="96"/>
      <c r="D24" s="96"/>
      <c r="E24" s="96"/>
      <c r="I24"/>
      <c r="J24"/>
      <c r="K24"/>
      <c r="L24"/>
    </row>
    <row r="25" spans="1:12" x14ac:dyDescent="0.2">
      <c r="I25"/>
      <c r="J25"/>
      <c r="K25"/>
      <c r="L25"/>
    </row>
    <row r="26" spans="1:12" x14ac:dyDescent="0.2">
      <c r="I26"/>
      <c r="J26"/>
      <c r="K26"/>
      <c r="L26"/>
    </row>
    <row r="27" spans="1:12" x14ac:dyDescent="0.2">
      <c r="I27"/>
      <c r="J27"/>
      <c r="K27"/>
      <c r="L27"/>
    </row>
    <row r="28" spans="1:12" x14ac:dyDescent="0.2">
      <c r="I28"/>
      <c r="J28"/>
      <c r="K28"/>
      <c r="L28"/>
    </row>
    <row r="29" spans="1:12" x14ac:dyDescent="0.2">
      <c r="I29"/>
      <c r="J29"/>
      <c r="K29"/>
      <c r="L29"/>
    </row>
    <row r="30" spans="1:12" x14ac:dyDescent="0.2">
      <c r="I30"/>
      <c r="J30"/>
      <c r="K30"/>
      <c r="L30"/>
    </row>
    <row r="31" spans="1:12" x14ac:dyDescent="0.2">
      <c r="I31"/>
      <c r="J31"/>
      <c r="K31"/>
      <c r="L31"/>
    </row>
    <row r="32" spans="1:12" x14ac:dyDescent="0.2">
      <c r="I32"/>
      <c r="J32"/>
      <c r="K32"/>
      <c r="L32"/>
    </row>
    <row r="33" spans="9:12" x14ac:dyDescent="0.2">
      <c r="I33"/>
      <c r="J33"/>
      <c r="K33"/>
      <c r="L33"/>
    </row>
    <row r="34" spans="9:12" x14ac:dyDescent="0.2">
      <c r="I34"/>
      <c r="J34"/>
      <c r="K34"/>
      <c r="L34"/>
    </row>
  </sheetData>
  <autoFilter ref="A1:D20" xr:uid="{00000000-0001-0000-0100-000000000000}"/>
  <conditionalFormatting sqref="D2:D20">
    <cfRule type="expression" dxfId="21" priority="134" stopIfTrue="1">
      <formula>ISNUMBER(SEARCH("Duplicate",#REF!))</formula>
    </cfRule>
    <cfRule type="duplicateValues" dxfId="20" priority="135"/>
  </conditionalFormatting>
  <conditionalFormatting sqref="A2:D20">
    <cfRule type="expression" dxfId="19" priority="136" stopIfTrue="1">
      <formula>IF(#REF!=1,OR(CELL("row")=CELL("row",A2)),FALSE)</formula>
    </cfRule>
    <cfRule type="expression" dxfId="18" priority="137">
      <formula>OR(ISNUMBER(SEARCH("dnp",#REF!)),ISNUMBER(SEARCH("dnf",#REF!)),ISNUMBER(SEARCH("not fitted",#REF!)))</formula>
    </cfRule>
    <cfRule type="expression" dxfId="17" priority="138">
      <formula>OR(ISNUMBER(SEARCH("c",#REF!)),ISNUMBER(SEARCH("r",#REF!)),(#REF!="Stock"))</formula>
    </cfRule>
    <cfRule type="expression" dxfId="16" priority="139">
      <formula>IF(OR(ISNUMBER(SEARCH("approved",#REF!)),ISNUMBER(SEARCH("ok to use",#REF!)))=TRUE,FALSE,(IF(OR(ISNUMBER(SEARCH("alt",#REF!)),ISNUMBER(SEARCH("alternative",#REF!)))=TRUE,TRUE,FALSE)))</formula>
    </cfRule>
    <cfRule type="expression" dxfId="15" priority="140">
      <formula>OR(ISNUMBER(SEARCH("long lead",#REF!)),ISNUMBER(SEARCH("longlead",#REF!)))</formula>
    </cfRule>
    <cfRule type="expression" dxfId="14" priority="141">
      <formula>OR(#REF!="true",#REF!="FI",#REF!="Free Issue")</formula>
    </cfRule>
    <cfRule type="expression" dxfId="13" priority="142">
      <formula>OR($D2="",#REF!="",#REF!="",#REF!="",#REF!="",#REF!="",#REF!="")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F3B9-85F9-4146-836F-13277B2D226F}">
  <sheetPr>
    <tabColor theme="9"/>
  </sheetPr>
  <dimension ref="A1:S19"/>
  <sheetViews>
    <sheetView workbookViewId="0">
      <selection activeCell="D9" sqref="D9"/>
    </sheetView>
  </sheetViews>
  <sheetFormatPr defaultRowHeight="12.75" x14ac:dyDescent="0.2"/>
  <cols>
    <col min="1" max="1" width="5.7109375" style="22" customWidth="1"/>
    <col min="2" max="3" width="18.7109375" style="22" customWidth="1"/>
    <col min="4" max="4" width="15.7109375" style="22" customWidth="1"/>
    <col min="5" max="5" width="21.7109375" style="22" customWidth="1"/>
    <col min="6" max="6" width="5.7109375" style="22" customWidth="1"/>
    <col min="7" max="9" width="18.7109375" style="22" customWidth="1"/>
    <col min="10" max="10" width="5.7109375" style="22" customWidth="1"/>
    <col min="11" max="18" width="14.28515625" style="22" customWidth="1"/>
    <col min="19" max="19" width="100.7109375" style="22" customWidth="1"/>
    <col min="20" max="16384" width="9.140625" style="22"/>
  </cols>
  <sheetData>
    <row r="1" spans="1:19" ht="24.95" customHeight="1" thickBo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35.1" customHeight="1" thickTop="1" thickBot="1" x14ac:dyDescent="0.25">
      <c r="A2" s="78"/>
      <c r="B2" s="332" t="s">
        <v>260</v>
      </c>
      <c r="C2" s="333"/>
      <c r="D2" s="333"/>
      <c r="E2" s="334"/>
      <c r="F2" s="78"/>
      <c r="G2" s="332" t="s">
        <v>237</v>
      </c>
      <c r="H2" s="333"/>
      <c r="I2" s="334"/>
      <c r="J2" s="78"/>
      <c r="K2" s="58" t="s">
        <v>196</v>
      </c>
      <c r="L2" s="59" t="s">
        <v>240</v>
      </c>
      <c r="M2" s="59" t="s">
        <v>241</v>
      </c>
      <c r="N2" s="59" t="s">
        <v>12</v>
      </c>
      <c r="O2" s="59" t="s">
        <v>242</v>
      </c>
      <c r="P2" s="59" t="s">
        <v>243</v>
      </c>
      <c r="Q2" s="59" t="s">
        <v>244</v>
      </c>
      <c r="R2" s="60" t="s">
        <v>245</v>
      </c>
      <c r="S2" s="78"/>
    </row>
    <row r="3" spans="1:19" ht="39.950000000000003" customHeight="1" thickBot="1" x14ac:dyDescent="0.25">
      <c r="A3" s="78"/>
      <c r="B3" s="81" t="s">
        <v>215</v>
      </c>
      <c r="C3" s="81" t="s">
        <v>230</v>
      </c>
      <c r="D3" s="81" t="s">
        <v>231</v>
      </c>
      <c r="E3" s="81" t="s">
        <v>232</v>
      </c>
      <c r="F3" s="79"/>
      <c r="G3" s="75" t="s">
        <v>215</v>
      </c>
      <c r="H3" s="76" t="s">
        <v>238</v>
      </c>
      <c r="I3" s="77" t="s">
        <v>239</v>
      </c>
      <c r="J3" s="78"/>
      <c r="K3" s="53">
        <f ca="1">TODAY()</f>
        <v>45209</v>
      </c>
      <c r="L3" s="54" t="e">
        <f>BOM!#REF!</f>
        <v>#REF!</v>
      </c>
      <c r="M3" s="55" t="e">
        <f>Overview!$H$17</f>
        <v>#REF!</v>
      </c>
      <c r="N3" s="55" t="str">
        <f>IFERROR(LEFT(Overview!$E$14,(FIND(" ",Overview!$E$14,1)-1)),Overview!$E$14)</f>
        <v>Wioletta</v>
      </c>
      <c r="O3" s="56">
        <f>SUM($C$4:$D$15)</f>
        <v>1695.77</v>
      </c>
      <c r="P3" s="56" t="e">
        <f>IF($K$15&gt;0,$K$15,"")</f>
        <v>#REF!</v>
      </c>
      <c r="Q3" s="56" t="e">
        <f>IF($K$15&lt;0,$K$15,"")</f>
        <v>#REF!</v>
      </c>
      <c r="R3" s="57" t="str">
        <f>IF($M$13=0,"",$M$13)</f>
        <v/>
      </c>
      <c r="S3" s="78"/>
    </row>
    <row r="4" spans="1:19" ht="32.1" customHeight="1" thickBot="1" x14ac:dyDescent="0.25">
      <c r="A4" s="78"/>
      <c r="B4" s="68" t="s">
        <v>2</v>
      </c>
      <c r="C4" s="71">
        <v>41.98</v>
      </c>
      <c r="D4" s="71"/>
      <c r="E4" s="80" t="s">
        <v>343</v>
      </c>
      <c r="F4" s="78"/>
      <c r="G4" s="68" t="str">
        <f>$B4</f>
        <v>Farnell</v>
      </c>
      <c r="H4" s="71" t="e">
        <f>IF(SUMIF(BOM!#REF!,$G4,BOM!#REF!)=0,"",SUMIF(BOM!#REF!,$G4,BOM!#REF!))</f>
        <v>#REF!</v>
      </c>
      <c r="I4" s="72" t="e">
        <f>IF($H4="","",$H4-SUM($C4:$D4))</f>
        <v>#REF!</v>
      </c>
      <c r="J4" s="78"/>
      <c r="K4" s="356" t="s">
        <v>263</v>
      </c>
      <c r="L4" s="357"/>
      <c r="M4" s="357"/>
      <c r="N4" s="357"/>
      <c r="O4" s="357"/>
      <c r="P4" s="357"/>
      <c r="Q4" s="357"/>
      <c r="R4" s="358"/>
      <c r="S4" s="78"/>
    </row>
    <row r="5" spans="1:19" ht="32.1" customHeight="1" thickTop="1" thickBot="1" x14ac:dyDescent="0.25">
      <c r="A5" s="78"/>
      <c r="B5" s="66" t="s">
        <v>67</v>
      </c>
      <c r="C5" s="69">
        <v>241.99</v>
      </c>
      <c r="D5" s="69"/>
      <c r="E5" s="61" t="s">
        <v>341</v>
      </c>
      <c r="F5" s="78"/>
      <c r="G5" s="66" t="str">
        <f t="shared" ref="G5:G14" si="0">$B5</f>
        <v>Digi-Key</v>
      </c>
      <c r="H5" s="69" t="e">
        <f>IF(SUMIF(BOM!#REF!,$G5,BOM!#REF!)=0,"",SUMIF(BOM!#REF!,$G5,BOM!#REF!))</f>
        <v>#REF!</v>
      </c>
      <c r="I5" s="73" t="e">
        <f t="shared" ref="I5:I14" si="1">IF($H5="","",$H5-SUM($C5:$D5))</f>
        <v>#REF!</v>
      </c>
      <c r="J5" s="78"/>
      <c r="K5" s="78"/>
      <c r="L5" s="78"/>
      <c r="M5" s="78"/>
      <c r="N5" s="78"/>
      <c r="O5" s="78"/>
      <c r="P5" s="78"/>
      <c r="Q5" s="78"/>
      <c r="R5" s="78"/>
      <c r="S5" s="78"/>
    </row>
    <row r="6" spans="1:19" ht="32.1" customHeight="1" thickTop="1" thickBot="1" x14ac:dyDescent="0.25">
      <c r="A6" s="78"/>
      <c r="B6" s="66" t="s">
        <v>1</v>
      </c>
      <c r="C6" s="69"/>
      <c r="D6" s="69"/>
      <c r="E6" s="61" t="s">
        <v>264</v>
      </c>
      <c r="F6" s="78"/>
      <c r="G6" s="66" t="str">
        <f t="shared" si="0"/>
        <v>Mouser</v>
      </c>
      <c r="H6" s="69" t="e">
        <f>IF(SUMIF(BOM!#REF!,$G6,BOM!#REF!)=0,"",SUMIF(BOM!#REF!,$G6,BOM!#REF!))</f>
        <v>#REF!</v>
      </c>
      <c r="I6" s="73" t="e">
        <f t="shared" si="1"/>
        <v>#REF!</v>
      </c>
      <c r="J6" s="78"/>
      <c r="K6" s="359" t="s">
        <v>246</v>
      </c>
      <c r="L6" s="360"/>
      <c r="M6" s="360"/>
      <c r="N6" s="360"/>
      <c r="O6" s="360"/>
      <c r="P6" s="360"/>
      <c r="Q6" s="360"/>
      <c r="R6" s="361"/>
      <c r="S6" s="78"/>
    </row>
    <row r="7" spans="1:19" ht="32.1" customHeight="1" thickBot="1" x14ac:dyDescent="0.25">
      <c r="A7" s="78"/>
      <c r="B7" s="66" t="s">
        <v>3</v>
      </c>
      <c r="C7" s="69"/>
      <c r="D7" s="69"/>
      <c r="E7" s="61" t="s">
        <v>264</v>
      </c>
      <c r="F7" s="78"/>
      <c r="G7" s="66" t="str">
        <f t="shared" si="0"/>
        <v>RS</v>
      </c>
      <c r="H7" s="69" t="e">
        <f>IF(SUMIF(BOM!#REF!,$G7,BOM!#REF!)=0,"",SUMIF(BOM!#REF!,$G7,BOM!#REF!))</f>
        <v>#REF!</v>
      </c>
      <c r="I7" s="73" t="e">
        <f t="shared" si="1"/>
        <v>#REF!</v>
      </c>
      <c r="J7" s="78"/>
      <c r="K7" s="362" t="s">
        <v>147</v>
      </c>
      <c r="L7" s="345"/>
      <c r="M7" s="345"/>
      <c r="N7" s="345"/>
      <c r="O7" s="363" t="s">
        <v>247</v>
      </c>
      <c r="P7" s="345"/>
      <c r="Q7" s="345"/>
      <c r="R7" s="346"/>
      <c r="S7" s="78"/>
    </row>
    <row r="8" spans="1:19" ht="32.1" customHeight="1" thickBot="1" x14ac:dyDescent="0.25">
      <c r="A8" s="78"/>
      <c r="B8" s="66" t="s">
        <v>4</v>
      </c>
      <c r="C8" s="69"/>
      <c r="D8" s="69"/>
      <c r="E8" s="61" t="s">
        <v>264</v>
      </c>
      <c r="F8" s="78"/>
      <c r="G8" s="66" t="str">
        <f t="shared" si="0"/>
        <v>Arrow</v>
      </c>
      <c r="H8" s="69" t="e">
        <f>IF(SUMIF(BOM!#REF!,$G8,BOM!#REF!)=0,"",SUMIF(BOM!#REF!,$G8,BOM!#REF!))</f>
        <v>#REF!</v>
      </c>
      <c r="I8" s="73" t="e">
        <f t="shared" si="1"/>
        <v>#REF!</v>
      </c>
      <c r="J8" s="78"/>
      <c r="K8" s="364" t="s">
        <v>248</v>
      </c>
      <c r="L8" s="365"/>
      <c r="M8" s="366" t="s">
        <v>249</v>
      </c>
      <c r="N8" s="366"/>
      <c r="O8" s="62" t="s">
        <v>214</v>
      </c>
      <c r="P8" s="63">
        <f>Overview!$Q$26</f>
        <v>0</v>
      </c>
      <c r="Q8" s="64" t="s">
        <v>253</v>
      </c>
      <c r="R8" s="65">
        <f>Overview!$N$22</f>
        <v>0</v>
      </c>
      <c r="S8" s="78"/>
    </row>
    <row r="9" spans="1:19" ht="32.1" customHeight="1" thickBot="1" x14ac:dyDescent="0.25">
      <c r="A9" s="78"/>
      <c r="B9" s="66" t="s">
        <v>233</v>
      </c>
      <c r="C9" s="69"/>
      <c r="D9" s="69"/>
      <c r="E9" s="61" t="s">
        <v>264</v>
      </c>
      <c r="F9" s="78"/>
      <c r="G9" s="66" t="str">
        <f t="shared" si="0"/>
        <v>Quest</v>
      </c>
      <c r="H9" s="69" t="e">
        <f>IF(SUMIF(BOM!#REF!,$G9,BOM!#REF!)=0,"",SUMIF(BOM!#REF!,$G9,BOM!#REF!))</f>
        <v>#REF!</v>
      </c>
      <c r="I9" s="73" t="e">
        <f t="shared" si="1"/>
        <v>#REF!</v>
      </c>
      <c r="J9" s="78"/>
      <c r="K9" s="351">
        <v>86.93</v>
      </c>
      <c r="L9" s="341"/>
      <c r="M9" s="342" t="e">
        <f>$M$11/Overview!$E$17</f>
        <v>#REF!</v>
      </c>
      <c r="N9" s="342"/>
      <c r="O9" s="343" t="s">
        <v>254</v>
      </c>
      <c r="P9" s="344"/>
      <c r="Q9" s="344"/>
      <c r="R9" s="346"/>
      <c r="S9" s="78"/>
    </row>
    <row r="10" spans="1:19" ht="32.1" customHeight="1" thickBot="1" x14ac:dyDescent="0.25">
      <c r="A10" s="78"/>
      <c r="B10" s="66" t="s">
        <v>290</v>
      </c>
      <c r="C10" s="69">
        <v>84</v>
      </c>
      <c r="D10" s="69"/>
      <c r="E10" s="61" t="s">
        <v>342</v>
      </c>
      <c r="F10" s="78"/>
      <c r="G10" s="66" t="str">
        <f t="shared" si="0"/>
        <v>Coilcraft</v>
      </c>
      <c r="H10" s="69" t="e">
        <f>IF(SUMIF(BOM!#REF!,$G10,BOM!#REF!)=0,"",SUMIF(BOM!#REF!,$G10,BOM!#REF!))</f>
        <v>#REF!</v>
      </c>
      <c r="I10" s="73" t="e">
        <f t="shared" si="1"/>
        <v>#REF!</v>
      </c>
      <c r="J10" s="78"/>
      <c r="K10" s="325" t="s">
        <v>250</v>
      </c>
      <c r="L10" s="368"/>
      <c r="M10" s="366" t="s">
        <v>251</v>
      </c>
      <c r="N10" s="366"/>
      <c r="O10" s="364" t="s">
        <v>255</v>
      </c>
      <c r="P10" s="365"/>
      <c r="Q10" s="366" t="s">
        <v>256</v>
      </c>
      <c r="R10" s="369"/>
      <c r="S10" s="78"/>
    </row>
    <row r="11" spans="1:19" ht="32.1" customHeight="1" thickBot="1" x14ac:dyDescent="0.25">
      <c r="A11" s="78"/>
      <c r="B11" s="66" t="s">
        <v>308</v>
      </c>
      <c r="C11" s="69">
        <v>1327.8</v>
      </c>
      <c r="D11" s="69"/>
      <c r="E11" s="61" t="s">
        <v>344</v>
      </c>
      <c r="F11" s="78"/>
      <c r="G11" s="66" t="str">
        <f t="shared" si="0"/>
        <v>Nicomatic</v>
      </c>
      <c r="H11" s="69" t="e">
        <f>IF(SUMIF(BOM!#REF!,$G11,BOM!#REF!)=0,"",SUMIF(BOM!#REF!,$G11,BOM!#REF!))</f>
        <v>#REF!</v>
      </c>
      <c r="I11" s="73" t="e">
        <f t="shared" si="1"/>
        <v>#REF!</v>
      </c>
      <c r="J11" s="78"/>
      <c r="K11" s="340" t="e">
        <f>$K$9*Overview!$E$17</f>
        <v>#REF!</v>
      </c>
      <c r="L11" s="341"/>
      <c r="M11" s="342" t="e">
        <f>Overview!$S$35</f>
        <v>#REF!</v>
      </c>
      <c r="N11" s="342"/>
      <c r="O11" s="370" t="str">
        <f>Overview!$W$25</f>
        <v>0</v>
      </c>
      <c r="P11" s="371"/>
      <c r="Q11" s="342">
        <f>Overview!$W$15</f>
        <v>0</v>
      </c>
      <c r="R11" s="352"/>
      <c r="S11" s="78"/>
    </row>
    <row r="12" spans="1:19" ht="32.1" customHeight="1" thickBot="1" x14ac:dyDescent="0.25">
      <c r="A12" s="78"/>
      <c r="B12" s="66" t="s">
        <v>234</v>
      </c>
      <c r="C12" s="69"/>
      <c r="D12" s="69"/>
      <c r="E12" s="61" t="s">
        <v>264</v>
      </c>
      <c r="F12" s="78"/>
      <c r="G12" s="66" t="str">
        <f t="shared" si="0"/>
        <v>Supplier3</v>
      </c>
      <c r="H12" s="69" t="e">
        <f>IF(SUMIF(BOM!#REF!,$G12,BOM!#REF!)=0,"",SUMIF(BOM!#REF!,$G12,BOM!#REF!))</f>
        <v>#REF!</v>
      </c>
      <c r="I12" s="73" t="e">
        <f t="shared" si="1"/>
        <v>#REF!</v>
      </c>
      <c r="J12" s="78"/>
      <c r="K12" s="367" t="s">
        <v>252</v>
      </c>
      <c r="L12" s="365"/>
      <c r="M12" s="366" t="s">
        <v>225</v>
      </c>
      <c r="N12" s="366"/>
      <c r="O12" s="343" t="s">
        <v>239</v>
      </c>
      <c r="P12" s="344"/>
      <c r="Q12" s="345"/>
      <c r="R12" s="346"/>
      <c r="S12" s="78"/>
    </row>
    <row r="13" spans="1:19" ht="32.1" customHeight="1" thickBot="1" x14ac:dyDescent="0.25">
      <c r="A13" s="78"/>
      <c r="B13" s="66" t="s">
        <v>235</v>
      </c>
      <c r="C13" s="69"/>
      <c r="D13" s="69"/>
      <c r="E13" s="61" t="s">
        <v>264</v>
      </c>
      <c r="F13" s="78"/>
      <c r="G13" s="66" t="str">
        <f t="shared" si="0"/>
        <v>Supplier4</v>
      </c>
      <c r="H13" s="69" t="e">
        <f>IF(SUMIF(BOM!#REF!,$G13,BOM!#REF!)=0,"",SUMIF(BOM!#REF!,$G13,BOM!#REF!))</f>
        <v>#REF!</v>
      </c>
      <c r="I13" s="73" t="e">
        <f t="shared" si="1"/>
        <v>#REF!</v>
      </c>
      <c r="J13" s="78"/>
      <c r="K13" s="340">
        <f>SUM(C4:D15)-$M$13</f>
        <v>1695.77</v>
      </c>
      <c r="L13" s="341"/>
      <c r="M13" s="342"/>
      <c r="N13" s="342"/>
      <c r="O13" s="347" t="s">
        <v>257</v>
      </c>
      <c r="P13" s="348"/>
      <c r="Q13" s="349" t="s">
        <v>258</v>
      </c>
      <c r="R13" s="350"/>
      <c r="S13" s="78"/>
    </row>
    <row r="14" spans="1:19" ht="32.1" customHeight="1" thickBot="1" x14ac:dyDescent="0.25">
      <c r="A14" s="78"/>
      <c r="B14" s="66" t="s">
        <v>236</v>
      </c>
      <c r="C14" s="69"/>
      <c r="D14" s="69"/>
      <c r="E14" s="61" t="s">
        <v>264</v>
      </c>
      <c r="F14" s="78"/>
      <c r="G14" s="66" t="str">
        <f t="shared" si="0"/>
        <v>Supplier5</v>
      </c>
      <c r="H14" s="69" t="e">
        <f>IF(SUMIF(BOM!#REF!,$G14,BOM!#REF!)=0,"",SUMIF(BOM!#REF!,$G14,BOM!#REF!))</f>
        <v>#REF!</v>
      </c>
      <c r="I14" s="73" t="e">
        <f t="shared" si="1"/>
        <v>#REF!</v>
      </c>
      <c r="J14" s="78"/>
      <c r="K14" s="325" t="s">
        <v>7</v>
      </c>
      <c r="L14" s="326"/>
      <c r="M14" s="327"/>
      <c r="N14" s="327"/>
      <c r="O14" s="351" t="e">
        <f>$K$9-$M$9</f>
        <v>#REF!</v>
      </c>
      <c r="P14" s="341"/>
      <c r="Q14" s="342" t="e">
        <f>$K$11-$M$11</f>
        <v>#REF!</v>
      </c>
      <c r="R14" s="352"/>
      <c r="S14" s="78"/>
    </row>
    <row r="15" spans="1:19" ht="32.1" customHeight="1" thickBot="1" x14ac:dyDescent="0.25">
      <c r="A15" s="78"/>
      <c r="B15" s="67" t="s">
        <v>224</v>
      </c>
      <c r="C15" s="70">
        <v>0</v>
      </c>
      <c r="D15" s="70">
        <v>0</v>
      </c>
      <c r="E15" s="50"/>
      <c r="F15" s="78"/>
      <c r="G15" s="67" t="s">
        <v>224</v>
      </c>
      <c r="H15" s="70"/>
      <c r="I15" s="74"/>
      <c r="J15" s="78"/>
      <c r="K15" s="328" t="e">
        <f>IF(SUM($C$4:$D$14)=0,"No Baskets",$K$11-$K$13)</f>
        <v>#REF!</v>
      </c>
      <c r="L15" s="329"/>
      <c r="M15" s="329"/>
      <c r="N15" s="329"/>
      <c r="O15" s="318" t="s">
        <v>259</v>
      </c>
      <c r="P15" s="319"/>
      <c r="Q15" s="320"/>
      <c r="R15" s="321"/>
      <c r="S15" s="78"/>
    </row>
    <row r="16" spans="1:19" ht="42.95" customHeight="1" thickBot="1" x14ac:dyDescent="0.25">
      <c r="A16" s="78"/>
      <c r="B16" s="353" t="s">
        <v>261</v>
      </c>
      <c r="C16" s="354"/>
      <c r="D16" s="354"/>
      <c r="E16" s="355"/>
      <c r="F16" s="78"/>
      <c r="G16" s="353" t="s">
        <v>262</v>
      </c>
      <c r="H16" s="354"/>
      <c r="I16" s="355"/>
      <c r="J16" s="78"/>
      <c r="K16" s="330"/>
      <c r="L16" s="331"/>
      <c r="M16" s="331"/>
      <c r="N16" s="331"/>
      <c r="O16" s="322" t="e">
        <f>$M$11-$K$13</f>
        <v>#REF!</v>
      </c>
      <c r="P16" s="323"/>
      <c r="Q16" s="323"/>
      <c r="R16" s="324"/>
      <c r="S16" s="78"/>
    </row>
    <row r="17" spans="1:19" ht="24.95" customHeight="1" thickTop="1" thickBo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316" t="s">
        <v>265</v>
      </c>
      <c r="L17" s="317"/>
      <c r="M17" s="316" t="e">
        <f t="shared" ref="M17" si="2">IF($K$15="No Baskets","No Baskets",IF($K$15&gt;0,"N/A","Needs approval!"))</f>
        <v>#REF!</v>
      </c>
      <c r="N17" s="317"/>
      <c r="O17" s="78"/>
      <c r="P17" s="78"/>
      <c r="Q17" s="78"/>
      <c r="R17" s="78"/>
      <c r="S17" s="78"/>
    </row>
    <row r="18" spans="1:19" ht="35.1" customHeight="1" thickTop="1" thickBot="1" x14ac:dyDescent="0.25">
      <c r="A18" s="78"/>
      <c r="B18" s="51" t="s">
        <v>0</v>
      </c>
      <c r="C18" s="335" t="e">
        <f>Overview!$E$3</f>
        <v>#REF!</v>
      </c>
      <c r="D18" s="335"/>
      <c r="E18" s="336" t="e">
        <f>Overview!$J$4</f>
        <v>#REF!</v>
      </c>
      <c r="F18" s="337"/>
      <c r="G18" s="337"/>
      <c r="H18" s="337"/>
      <c r="I18" s="337"/>
      <c r="J18" s="337"/>
      <c r="K18" s="336" t="e">
        <f>Overview!$E$20</f>
        <v>#REF!</v>
      </c>
      <c r="L18" s="337"/>
      <c r="M18" s="337"/>
      <c r="N18" s="337"/>
      <c r="O18" s="337"/>
      <c r="P18" s="338" t="s">
        <v>150</v>
      </c>
      <c r="Q18" s="339"/>
      <c r="R18" s="52" t="e">
        <f>Overview!$E$17</f>
        <v>#REF!</v>
      </c>
      <c r="S18" s="78"/>
    </row>
    <row r="19" spans="1:19" ht="399.95" customHeight="1" thickTop="1" x14ac:dyDescent="0.2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</sheetData>
  <mergeCells count="40">
    <mergeCell ref="O9:R9"/>
    <mergeCell ref="O10:P10"/>
    <mergeCell ref="K9:L9"/>
    <mergeCell ref="M11:N11"/>
    <mergeCell ref="K12:L12"/>
    <mergeCell ref="M12:N12"/>
    <mergeCell ref="M9:N9"/>
    <mergeCell ref="K10:L10"/>
    <mergeCell ref="M10:N10"/>
    <mergeCell ref="K11:L11"/>
    <mergeCell ref="Q10:R10"/>
    <mergeCell ref="O11:P11"/>
    <mergeCell ref="Q11:R11"/>
    <mergeCell ref="K4:R4"/>
    <mergeCell ref="K6:R6"/>
    <mergeCell ref="K7:N7"/>
    <mergeCell ref="O7:R7"/>
    <mergeCell ref="K8:L8"/>
    <mergeCell ref="M8:N8"/>
    <mergeCell ref="G2:I2"/>
    <mergeCell ref="C18:D18"/>
    <mergeCell ref="E18:J18"/>
    <mergeCell ref="K18:O18"/>
    <mergeCell ref="P18:Q18"/>
    <mergeCell ref="M17:N17"/>
    <mergeCell ref="K13:L13"/>
    <mergeCell ref="M13:N13"/>
    <mergeCell ref="O12:R12"/>
    <mergeCell ref="O13:P13"/>
    <mergeCell ref="Q13:R13"/>
    <mergeCell ref="O14:P14"/>
    <mergeCell ref="Q14:R14"/>
    <mergeCell ref="B2:E2"/>
    <mergeCell ref="B16:E16"/>
    <mergeCell ref="G16:I16"/>
    <mergeCell ref="K17:L17"/>
    <mergeCell ref="O15:R15"/>
    <mergeCell ref="O16:R16"/>
    <mergeCell ref="K14:N14"/>
    <mergeCell ref="K15:N16"/>
  </mergeCells>
  <conditionalFormatting sqref="C4:E15">
    <cfRule type="cellIs" dxfId="8" priority="9" operator="equal">
      <formula>""</formula>
    </cfRule>
  </conditionalFormatting>
  <conditionalFormatting sqref="H4:I15">
    <cfRule type="cellIs" dxfId="7" priority="8" operator="equal">
      <formula>""</formula>
    </cfRule>
  </conditionalFormatting>
  <conditionalFormatting sqref="K15:N16">
    <cfRule type="cellIs" dxfId="6" priority="3" stopIfTrue="1" operator="lessThan">
      <formula>0</formula>
    </cfRule>
    <cfRule type="cellIs" dxfId="5" priority="4" stopIfTrue="1" operator="equal">
      <formula>0</formula>
    </cfRule>
    <cfRule type="cellIs" dxfId="4" priority="5" stopIfTrue="1" operator="equal">
      <formula>"No Baskets"</formula>
    </cfRule>
    <cfRule type="cellIs" dxfId="3" priority="6" stopIfTrue="1" operator="greaterThanOrEqual">
      <formula>$K$11*0.1</formula>
    </cfRule>
    <cfRule type="cellIs" dxfId="2" priority="7" operator="lessThan">
      <formula>$K$11*0.1</formula>
    </cfRule>
  </conditionalFormatting>
  <conditionalFormatting sqref="O16:R16">
    <cfRule type="cellIs" dxfId="1" priority="1" operator="notBetween">
      <formula>-5</formula>
      <formula>5</formula>
    </cfRule>
    <cfRule type="cellIs" dxfId="0" priority="2" operator="between">
      <formula>-5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638B-96C5-4596-9FE9-DD4FF7D88679}">
  <dimension ref="A1:L19"/>
  <sheetViews>
    <sheetView workbookViewId="0">
      <selection activeCell="I2" sqref="I2"/>
    </sheetView>
  </sheetViews>
  <sheetFormatPr defaultRowHeight="12.75" x14ac:dyDescent="0.2"/>
  <cols>
    <col min="1" max="1" width="5.140625" style="17" customWidth="1"/>
    <col min="2" max="2" width="9" style="17" customWidth="1"/>
    <col min="3" max="3" width="45.5703125" style="17" customWidth="1"/>
    <col min="4" max="4" width="13.140625" style="17" customWidth="1"/>
    <col min="5" max="6" width="11.140625" style="17" customWidth="1"/>
    <col min="8" max="8" width="15.7109375" bestFit="1" customWidth="1"/>
    <col min="9" max="9" width="25.7109375" customWidth="1"/>
    <col min="11" max="11" width="9.5703125" bestFit="1" customWidth="1"/>
  </cols>
  <sheetData>
    <row r="1" spans="1:12" ht="15" customHeight="1" x14ac:dyDescent="0.2">
      <c r="A1" s="83" t="s">
        <v>19</v>
      </c>
      <c r="B1" s="83" t="s">
        <v>277</v>
      </c>
      <c r="C1" s="83" t="s">
        <v>278</v>
      </c>
      <c r="D1" s="83" t="s">
        <v>279</v>
      </c>
      <c r="E1" s="83" t="s">
        <v>29</v>
      </c>
      <c r="F1" s="83" t="s">
        <v>280</v>
      </c>
      <c r="K1" s="87" t="s">
        <v>286</v>
      </c>
      <c r="L1" s="83" t="s">
        <v>287</v>
      </c>
    </row>
    <row r="2" spans="1:12" ht="15" customHeight="1" x14ac:dyDescent="0.2">
      <c r="A2" s="82">
        <v>1</v>
      </c>
      <c r="B2" s="82">
        <v>110</v>
      </c>
      <c r="C2" s="82">
        <v>3582887</v>
      </c>
      <c r="D2" s="82" t="s">
        <v>285</v>
      </c>
      <c r="E2" s="85">
        <v>0.14399999999999999</v>
      </c>
      <c r="F2" s="85">
        <v>15.839999999999998</v>
      </c>
      <c r="H2" s="83" t="s">
        <v>215</v>
      </c>
      <c r="I2" s="82" t="s">
        <v>2</v>
      </c>
      <c r="K2" s="82" t="s">
        <v>2</v>
      </c>
      <c r="L2" s="88">
        <f>COUNTA(K2:K51)</f>
        <v>1</v>
      </c>
    </row>
    <row r="3" spans="1:12" ht="15" customHeight="1" x14ac:dyDescent="0.2">
      <c r="A3" s="82">
        <v>2</v>
      </c>
      <c r="B3" s="82">
        <v>90</v>
      </c>
      <c r="C3" s="82">
        <v>3582814</v>
      </c>
      <c r="D3" s="82" t="s">
        <v>285</v>
      </c>
      <c r="E3" s="85">
        <v>4.8999999999999998E-3</v>
      </c>
      <c r="F3" s="85">
        <v>0.441</v>
      </c>
      <c r="H3" s="83" t="s">
        <v>279</v>
      </c>
      <c r="I3" s="42" t="s">
        <v>285</v>
      </c>
      <c r="K3" s="2"/>
    </row>
    <row r="4" spans="1:12" ht="15" customHeight="1" x14ac:dyDescent="0.2">
      <c r="A4" s="82">
        <v>3</v>
      </c>
      <c r="B4" s="82">
        <v>70</v>
      </c>
      <c r="C4" s="82">
        <v>3581351</v>
      </c>
      <c r="D4" s="82" t="s">
        <v>285</v>
      </c>
      <c r="E4" s="85">
        <v>2.5600000000000001E-2</v>
      </c>
      <c r="F4" s="85">
        <v>1.792</v>
      </c>
      <c r="H4" s="83" t="s">
        <v>282</v>
      </c>
      <c r="I4" s="85">
        <v>0</v>
      </c>
    </row>
    <row r="5" spans="1:12" ht="15" customHeight="1" x14ac:dyDescent="0.2">
      <c r="A5" s="82">
        <v>4</v>
      </c>
      <c r="B5" s="82">
        <v>90</v>
      </c>
      <c r="C5" s="82">
        <v>1414581</v>
      </c>
      <c r="D5" s="82" t="s">
        <v>285</v>
      </c>
      <c r="E5" s="85">
        <v>9.7999999999999997E-3</v>
      </c>
      <c r="F5" s="85">
        <v>0.88200000000000001</v>
      </c>
      <c r="H5" s="83"/>
      <c r="I5" s="82"/>
    </row>
    <row r="6" spans="1:12" ht="15" customHeight="1" x14ac:dyDescent="0.2">
      <c r="A6" s="82">
        <v>5</v>
      </c>
      <c r="B6" s="82">
        <v>70</v>
      </c>
      <c r="C6" s="82">
        <v>2525047</v>
      </c>
      <c r="D6" s="82" t="s">
        <v>285</v>
      </c>
      <c r="E6" s="85">
        <v>2.2599999999999999E-2</v>
      </c>
      <c r="F6" s="85">
        <v>1.5819999999999999</v>
      </c>
      <c r="H6" s="83"/>
      <c r="I6" s="82"/>
    </row>
    <row r="7" spans="1:12" ht="15" customHeight="1" x14ac:dyDescent="0.2">
      <c r="A7" s="82">
        <v>7</v>
      </c>
      <c r="B7" s="82">
        <v>90</v>
      </c>
      <c r="C7" s="82">
        <v>1800798</v>
      </c>
      <c r="D7" s="82" t="s">
        <v>285</v>
      </c>
      <c r="E7" s="85">
        <v>9.7999999999999997E-3</v>
      </c>
      <c r="F7" s="85">
        <v>0.88200000000000001</v>
      </c>
      <c r="H7" s="83" t="s">
        <v>283</v>
      </c>
      <c r="I7" s="85">
        <f>IFERROR($F$16, "Can't find total price!")</f>
        <v>41.991000000000007</v>
      </c>
    </row>
    <row r="8" spans="1:12" ht="15" customHeight="1" x14ac:dyDescent="0.2">
      <c r="A8" s="82">
        <v>8</v>
      </c>
      <c r="B8" s="82">
        <v>30</v>
      </c>
      <c r="C8" s="82">
        <v>2774580</v>
      </c>
      <c r="D8" s="82" t="s">
        <v>285</v>
      </c>
      <c r="E8" s="85">
        <v>6.83E-2</v>
      </c>
      <c r="F8" s="85">
        <v>2.0489999999999999</v>
      </c>
      <c r="H8" s="83" t="s">
        <v>284</v>
      </c>
      <c r="I8" s="85">
        <f>IFERROR(VLOOKUP($I$2,Purchasing!$B$4:$E$14,2,FALSE), "No basket price!")</f>
        <v>41.98</v>
      </c>
    </row>
    <row r="9" spans="1:12" ht="15" customHeight="1" x14ac:dyDescent="0.2">
      <c r="A9" s="82">
        <v>12</v>
      </c>
      <c r="B9" s="82">
        <v>30</v>
      </c>
      <c r="C9" s="82">
        <v>3405200</v>
      </c>
      <c r="D9" s="82" t="s">
        <v>285</v>
      </c>
      <c r="E9" s="85">
        <v>0.32100000000000001</v>
      </c>
      <c r="F9" s="85">
        <v>9.6300000000000008</v>
      </c>
      <c r="H9" s="83" t="s">
        <v>276</v>
      </c>
      <c r="I9" s="85">
        <f>IFERROR($I$7-$I$8, "No basket price!")</f>
        <v>1.1000000000009891E-2</v>
      </c>
    </row>
    <row r="10" spans="1:12" ht="15" customHeight="1" x14ac:dyDescent="0.2">
      <c r="A10" s="82">
        <v>13</v>
      </c>
      <c r="B10" s="82">
        <v>110</v>
      </c>
      <c r="C10" s="82">
        <v>1469683</v>
      </c>
      <c r="D10" s="82" t="s">
        <v>285</v>
      </c>
      <c r="E10" s="85">
        <v>3.5999999999999999E-3</v>
      </c>
      <c r="F10" s="85">
        <v>0.39</v>
      </c>
    </row>
    <row r="11" spans="1:12" ht="15" customHeight="1" x14ac:dyDescent="0.2">
      <c r="A11" s="82">
        <v>15</v>
      </c>
      <c r="B11" s="82">
        <v>60</v>
      </c>
      <c r="C11" s="82">
        <v>1469793</v>
      </c>
      <c r="D11" s="82" t="s">
        <v>285</v>
      </c>
      <c r="E11" s="85">
        <v>0.01</v>
      </c>
      <c r="F11" s="85">
        <v>0.6</v>
      </c>
    </row>
    <row r="12" spans="1:12" ht="15" customHeight="1" x14ac:dyDescent="0.2">
      <c r="A12" s="82">
        <v>16</v>
      </c>
      <c r="B12" s="82">
        <v>70</v>
      </c>
      <c r="C12" s="82">
        <v>2563621</v>
      </c>
      <c r="D12" s="82" t="s">
        <v>285</v>
      </c>
      <c r="E12" s="85">
        <v>3.6900000000000002E-2</v>
      </c>
      <c r="F12" s="85">
        <v>2.5830000000000002</v>
      </c>
    </row>
    <row r="13" spans="1:12" ht="15" customHeight="1" x14ac:dyDescent="0.2">
      <c r="A13" s="82">
        <v>18</v>
      </c>
      <c r="B13" s="82">
        <v>70</v>
      </c>
      <c r="C13" s="82">
        <v>2838469</v>
      </c>
      <c r="D13" s="82" t="s">
        <v>285</v>
      </c>
      <c r="E13" s="85">
        <v>7.5999999999999998E-2</v>
      </c>
      <c r="F13" s="85">
        <v>5.32</v>
      </c>
    </row>
    <row r="14" spans="1:12" ht="15" customHeight="1" x14ac:dyDescent="0.2">
      <c r="A14" s="82"/>
      <c r="B14" s="82"/>
      <c r="C14" s="82"/>
      <c r="D14" s="82"/>
      <c r="E14" s="85"/>
      <c r="F14" s="85"/>
    </row>
    <row r="15" spans="1:12" ht="15" customHeight="1" x14ac:dyDescent="0.2">
      <c r="A15" s="82"/>
      <c r="B15" s="82"/>
      <c r="C15" s="82"/>
      <c r="D15" s="82"/>
      <c r="E15" s="86"/>
      <c r="F15" s="86"/>
    </row>
    <row r="16" spans="1:12" ht="15" customHeight="1" x14ac:dyDescent="0.2">
      <c r="E16" s="19" t="s">
        <v>5</v>
      </c>
      <c r="F16" s="85">
        <f>SUM(F2:F15)</f>
        <v>41.991000000000007</v>
      </c>
    </row>
    <row r="17" spans="5:6" ht="15" customHeight="1" x14ac:dyDescent="0.2">
      <c r="E17" s="84" t="s">
        <v>224</v>
      </c>
      <c r="F17" s="85">
        <v>0</v>
      </c>
    </row>
    <row r="18" spans="5:6" ht="15" customHeight="1" x14ac:dyDescent="0.2">
      <c r="E18" s="84" t="s">
        <v>281</v>
      </c>
      <c r="F18" s="85">
        <f>(F16+F17)*0.2</f>
        <v>8.398200000000001</v>
      </c>
    </row>
    <row r="19" spans="5:6" ht="15" customHeight="1" x14ac:dyDescent="0.2">
      <c r="E19" s="84" t="s">
        <v>5</v>
      </c>
      <c r="F19" s="85">
        <f>F16+F17+F18</f>
        <v>50.38920000000001</v>
      </c>
    </row>
  </sheetData>
  <dataValidations count="1">
    <dataValidation type="list" allowBlank="1" sqref="I2" xr:uid="{AE0CDD45-169B-456B-A9D9-7C1B366A7782}">
      <formula1>K2:K2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PO.createPO">
                <anchor moveWithCells="1" siz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O.updateSUP">
                <anchor moveWithCells="1" sizeWithCells="1">
                  <from>
                    <xdr:col>12</xdr:col>
                    <xdr:colOff>0</xdr:colOff>
                    <xdr:row>0</xdr:row>
                    <xdr:rowOff>0</xdr:rowOff>
                  </from>
                  <to>
                    <xdr:col>14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7F046-A9A8-4827-955C-3619DAAFB07D}">
  <sheetPr>
    <tabColor rgb="FF7030A0"/>
  </sheetPr>
  <dimension ref="B1:G19"/>
  <sheetViews>
    <sheetView workbookViewId="0"/>
  </sheetViews>
  <sheetFormatPr defaultRowHeight="12.75" x14ac:dyDescent="0.2"/>
  <cols>
    <col min="2" max="2" width="9.28515625" customWidth="1"/>
    <col min="3" max="3" width="20.7109375" customWidth="1"/>
    <col min="4" max="4" width="55.7109375" customWidth="1"/>
    <col min="5" max="5" width="30.7109375" customWidth="1"/>
    <col min="6" max="6" width="13.28515625" customWidth="1"/>
  </cols>
  <sheetData>
    <row r="1" spans="2:7" x14ac:dyDescent="0.2">
      <c r="C1" s="28" t="s">
        <v>192</v>
      </c>
    </row>
    <row r="2" spans="2:7" ht="13.5" thickBot="1" x14ac:dyDescent="0.25">
      <c r="C2" s="29" t="str">
        <f>LOOKUP(2,1/(COUNTIF('Rev History'!$B$5:$B$19,"&gt;"&amp;'Rev History'!$B$5:$B$19&amp;"*")=0),'Rev History'!$B$5:$B$19)</f>
        <v>A</v>
      </c>
    </row>
    <row r="3" spans="2:7" ht="13.5" thickBot="1" x14ac:dyDescent="0.25"/>
    <row r="4" spans="2:7" ht="13.5" thickBot="1" x14ac:dyDescent="0.25">
      <c r="B4" s="25" t="s">
        <v>193</v>
      </c>
      <c r="C4" s="26" t="s">
        <v>194</v>
      </c>
      <c r="D4" s="26" t="s">
        <v>10</v>
      </c>
      <c r="E4" s="26" t="s">
        <v>195</v>
      </c>
      <c r="F4" s="27" t="s">
        <v>196</v>
      </c>
    </row>
    <row r="5" spans="2:7" x14ac:dyDescent="0.2">
      <c r="B5" s="37" t="s">
        <v>197</v>
      </c>
      <c r="C5" s="24" t="str">
        <f>Overview!$E$14</f>
        <v>Wioletta Cendrowska</v>
      </c>
      <c r="D5" s="36" t="s">
        <v>11</v>
      </c>
      <c r="E5" s="36" t="s">
        <v>198</v>
      </c>
      <c r="F5" s="33">
        <v>45169</v>
      </c>
      <c r="G5" s="21"/>
    </row>
    <row r="6" spans="2:7" x14ac:dyDescent="0.2">
      <c r="B6" s="38"/>
      <c r="C6" s="23"/>
      <c r="D6" s="31"/>
      <c r="E6" s="31"/>
      <c r="F6" s="34"/>
    </row>
    <row r="7" spans="2:7" x14ac:dyDescent="0.2">
      <c r="B7" s="38"/>
      <c r="C7" s="23"/>
      <c r="D7" s="31"/>
      <c r="E7" s="31"/>
      <c r="F7" s="34"/>
    </row>
    <row r="8" spans="2:7" x14ac:dyDescent="0.2">
      <c r="B8" s="38"/>
      <c r="C8" s="23"/>
      <c r="D8" s="31"/>
      <c r="E8" s="31"/>
      <c r="F8" s="34"/>
    </row>
    <row r="9" spans="2:7" x14ac:dyDescent="0.2">
      <c r="B9" s="38"/>
      <c r="C9" s="23"/>
      <c r="D9" s="31"/>
      <c r="E9" s="31"/>
      <c r="F9" s="34"/>
    </row>
    <row r="10" spans="2:7" x14ac:dyDescent="0.2">
      <c r="B10" s="38"/>
      <c r="C10" s="23"/>
      <c r="D10" s="31"/>
      <c r="E10" s="31"/>
      <c r="F10" s="34"/>
    </row>
    <row r="11" spans="2:7" x14ac:dyDescent="0.2">
      <c r="B11" s="38"/>
      <c r="C11" s="23"/>
      <c r="D11" s="31"/>
      <c r="E11" s="31"/>
      <c r="F11" s="34"/>
    </row>
    <row r="12" spans="2:7" x14ac:dyDescent="0.2">
      <c r="B12" s="38"/>
      <c r="C12" s="23"/>
      <c r="D12" s="31"/>
      <c r="E12" s="31"/>
      <c r="F12" s="34"/>
    </row>
    <row r="13" spans="2:7" x14ac:dyDescent="0.2">
      <c r="B13" s="38"/>
      <c r="C13" s="23"/>
      <c r="D13" s="31"/>
      <c r="E13" s="31"/>
      <c r="F13" s="34"/>
    </row>
    <row r="14" spans="2:7" x14ac:dyDescent="0.2">
      <c r="B14" s="38"/>
      <c r="C14" s="23"/>
      <c r="D14" s="31"/>
      <c r="E14" s="31"/>
      <c r="F14" s="34"/>
    </row>
    <row r="15" spans="2:7" x14ac:dyDescent="0.2">
      <c r="B15" s="38"/>
      <c r="C15" s="23"/>
      <c r="D15" s="31"/>
      <c r="E15" s="31"/>
      <c r="F15" s="34"/>
    </row>
    <row r="16" spans="2:7" x14ac:dyDescent="0.2">
      <c r="B16" s="38"/>
      <c r="C16" s="23"/>
      <c r="D16" s="31"/>
      <c r="E16" s="31"/>
      <c r="F16" s="34"/>
    </row>
    <row r="17" spans="2:6" x14ac:dyDescent="0.2">
      <c r="B17" s="38"/>
      <c r="C17" s="23"/>
      <c r="D17" s="31"/>
      <c r="E17" s="31"/>
      <c r="F17" s="34"/>
    </row>
    <row r="18" spans="2:6" x14ac:dyDescent="0.2">
      <c r="B18" s="38"/>
      <c r="C18" s="23"/>
      <c r="D18" s="31"/>
      <c r="E18" s="31"/>
      <c r="F18" s="34"/>
    </row>
    <row r="19" spans="2:6" ht="13.5" thickBot="1" x14ac:dyDescent="0.25">
      <c r="B19" s="39"/>
      <c r="C19" s="30"/>
      <c r="D19" s="32"/>
      <c r="E19" s="32"/>
      <c r="F19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D5B2-76D2-4A5A-AAAE-47AE8956700C}">
  <sheetPr>
    <tabColor rgb="FF00B050"/>
  </sheetPr>
  <dimension ref="A1:AA19"/>
  <sheetViews>
    <sheetView workbookViewId="0">
      <selection sqref="A1:H1"/>
    </sheetView>
  </sheetViews>
  <sheetFormatPr defaultRowHeight="12.75" x14ac:dyDescent="0.2"/>
  <cols>
    <col min="2" max="2" width="9.140625" style="3"/>
    <col min="7" max="7" width="9.140625" style="3"/>
    <col min="14" max="14" width="9.140625" style="3"/>
    <col min="19" max="19" width="9.140625" style="3"/>
    <col min="27" max="27" width="9.140625" style="3"/>
  </cols>
  <sheetData>
    <row r="1" spans="1:27" x14ac:dyDescent="0.2">
      <c r="A1" s="1" t="s">
        <v>190</v>
      </c>
    </row>
    <row r="2" spans="1:27" x14ac:dyDescent="0.2">
      <c r="A2">
        <v>4</v>
      </c>
      <c r="B2">
        <v>1414581</v>
      </c>
      <c r="C2" t="s">
        <v>310</v>
      </c>
      <c r="D2" t="s">
        <v>295</v>
      </c>
      <c r="E2" t="s">
        <v>288</v>
      </c>
      <c r="F2">
        <v>90</v>
      </c>
      <c r="G2" t="s">
        <v>55</v>
      </c>
      <c r="H2" t="s">
        <v>315</v>
      </c>
      <c r="I2" t="s">
        <v>316</v>
      </c>
      <c r="J2">
        <v>405419</v>
      </c>
      <c r="K2">
        <v>9.7999999999999997E-3</v>
      </c>
      <c r="L2">
        <v>0.88</v>
      </c>
      <c r="AA2" s="3" t="s">
        <v>37</v>
      </c>
    </row>
    <row r="3" spans="1:27" x14ac:dyDescent="0.2">
      <c r="A3">
        <v>6</v>
      </c>
      <c r="B3">
        <v>1800798</v>
      </c>
      <c r="C3" t="s">
        <v>310</v>
      </c>
      <c r="D3" t="s">
        <v>297</v>
      </c>
      <c r="E3" t="s">
        <v>288</v>
      </c>
      <c r="F3">
        <v>90</v>
      </c>
      <c r="G3" t="s">
        <v>74</v>
      </c>
      <c r="H3" t="s">
        <v>315</v>
      </c>
      <c r="I3" t="s">
        <v>319</v>
      </c>
      <c r="J3">
        <v>36394</v>
      </c>
      <c r="K3">
        <v>9.7999999999999997E-3</v>
      </c>
      <c r="L3">
        <v>0.88</v>
      </c>
      <c r="AA3" s="3" t="s">
        <v>43</v>
      </c>
    </row>
    <row r="4" spans="1:27" x14ac:dyDescent="0.2">
      <c r="A4">
        <v>5</v>
      </c>
      <c r="B4">
        <v>2525047</v>
      </c>
      <c r="C4" t="s">
        <v>310</v>
      </c>
      <c r="D4" t="s">
        <v>296</v>
      </c>
      <c r="E4" t="s">
        <v>288</v>
      </c>
      <c r="F4">
        <v>70</v>
      </c>
      <c r="G4" t="s">
        <v>61</v>
      </c>
      <c r="H4" t="s">
        <v>317</v>
      </c>
      <c r="I4" t="s">
        <v>318</v>
      </c>
      <c r="J4">
        <v>326552</v>
      </c>
      <c r="K4">
        <v>2.2599999999999999E-2</v>
      </c>
      <c r="L4">
        <v>1.58</v>
      </c>
      <c r="AA4" s="3" t="s">
        <v>49</v>
      </c>
    </row>
    <row r="5" spans="1:27" x14ac:dyDescent="0.2">
      <c r="A5">
        <v>9</v>
      </c>
      <c r="B5">
        <v>1469683</v>
      </c>
      <c r="C5" t="s">
        <v>324</v>
      </c>
      <c r="D5" t="s">
        <v>300</v>
      </c>
      <c r="E5" t="s">
        <v>288</v>
      </c>
      <c r="F5">
        <v>110</v>
      </c>
      <c r="G5" t="s">
        <v>104</v>
      </c>
      <c r="H5" t="s">
        <v>325</v>
      </c>
      <c r="I5" t="s">
        <v>326</v>
      </c>
      <c r="J5">
        <v>352295</v>
      </c>
      <c r="K5">
        <v>3.5999999999999999E-3</v>
      </c>
      <c r="L5">
        <v>0.39</v>
      </c>
      <c r="AA5" s="3" t="s">
        <v>55</v>
      </c>
    </row>
    <row r="6" spans="1:27" x14ac:dyDescent="0.2">
      <c r="A6">
        <v>10</v>
      </c>
      <c r="B6">
        <v>1469793</v>
      </c>
      <c r="C6" t="s">
        <v>324</v>
      </c>
      <c r="D6" t="s">
        <v>301</v>
      </c>
      <c r="E6" t="s">
        <v>288</v>
      </c>
      <c r="F6">
        <v>60</v>
      </c>
      <c r="G6" t="s">
        <v>116</v>
      </c>
      <c r="H6" t="s">
        <v>325</v>
      </c>
      <c r="I6" t="s">
        <v>327</v>
      </c>
      <c r="J6">
        <v>39180</v>
      </c>
      <c r="K6">
        <v>0.01</v>
      </c>
      <c r="L6">
        <v>0.6</v>
      </c>
      <c r="N6" s="3" t="s">
        <v>338</v>
      </c>
      <c r="S6" s="3" t="s">
        <v>339</v>
      </c>
      <c r="AA6" s="3" t="s">
        <v>61</v>
      </c>
    </row>
    <row r="7" spans="1:27" x14ac:dyDescent="0.2">
      <c r="A7">
        <v>8</v>
      </c>
      <c r="B7">
        <v>3405200</v>
      </c>
      <c r="C7" t="s">
        <v>310</v>
      </c>
      <c r="D7" t="s">
        <v>299</v>
      </c>
      <c r="E7" t="s">
        <v>288</v>
      </c>
      <c r="F7">
        <v>30</v>
      </c>
      <c r="G7" t="s">
        <v>98</v>
      </c>
      <c r="H7" t="s">
        <v>322</v>
      </c>
      <c r="I7" t="s">
        <v>323</v>
      </c>
      <c r="J7">
        <v>6679</v>
      </c>
      <c r="K7">
        <v>0.32100000000000001</v>
      </c>
      <c r="L7">
        <v>9.6300000000000008</v>
      </c>
      <c r="AA7" s="3" t="s">
        <v>74</v>
      </c>
    </row>
    <row r="8" spans="1:27" x14ac:dyDescent="0.2">
      <c r="A8">
        <v>11</v>
      </c>
      <c r="B8">
        <v>2563621</v>
      </c>
      <c r="C8" t="s">
        <v>324</v>
      </c>
      <c r="D8" t="s">
        <v>302</v>
      </c>
      <c r="E8" t="s">
        <v>288</v>
      </c>
      <c r="F8">
        <v>70</v>
      </c>
      <c r="G8" t="s">
        <v>122</v>
      </c>
      <c r="H8" t="s">
        <v>328</v>
      </c>
      <c r="I8" t="s">
        <v>329</v>
      </c>
      <c r="J8">
        <v>26970</v>
      </c>
      <c r="K8">
        <v>3.6900000000000002E-2</v>
      </c>
      <c r="L8">
        <v>2.58</v>
      </c>
      <c r="AA8" s="3" t="s">
        <v>80</v>
      </c>
    </row>
    <row r="9" spans="1:27" x14ac:dyDescent="0.2">
      <c r="A9">
        <v>3</v>
      </c>
      <c r="B9">
        <v>3581351</v>
      </c>
      <c r="C9" t="s">
        <v>310</v>
      </c>
      <c r="D9" t="s">
        <v>294</v>
      </c>
      <c r="E9" t="s">
        <v>288</v>
      </c>
      <c r="F9">
        <v>70</v>
      </c>
      <c r="G9" t="s">
        <v>49</v>
      </c>
      <c r="H9" t="s">
        <v>311</v>
      </c>
      <c r="I9" t="s">
        <v>314</v>
      </c>
      <c r="J9">
        <v>16810</v>
      </c>
      <c r="K9">
        <v>2.5600000000000001E-2</v>
      </c>
      <c r="L9">
        <v>1.79</v>
      </c>
      <c r="AA9" s="3" t="s">
        <v>98</v>
      </c>
    </row>
    <row r="10" spans="1:27" x14ac:dyDescent="0.2">
      <c r="A10">
        <v>2</v>
      </c>
      <c r="B10">
        <v>3582814</v>
      </c>
      <c r="C10" t="s">
        <v>310</v>
      </c>
      <c r="D10" t="s">
        <v>293</v>
      </c>
      <c r="E10" t="s">
        <v>288</v>
      </c>
      <c r="F10">
        <v>90</v>
      </c>
      <c r="G10" t="s">
        <v>43</v>
      </c>
      <c r="H10" t="s">
        <v>311</v>
      </c>
      <c r="I10" t="s">
        <v>313</v>
      </c>
      <c r="J10">
        <v>1160</v>
      </c>
      <c r="K10">
        <v>4.8999999999999998E-3</v>
      </c>
      <c r="L10">
        <v>0.44</v>
      </c>
      <c r="AA10" s="3" t="s">
        <v>104</v>
      </c>
    </row>
    <row r="11" spans="1:27" x14ac:dyDescent="0.2">
      <c r="A11">
        <v>1</v>
      </c>
      <c r="B11">
        <v>3582887</v>
      </c>
      <c r="C11" t="s">
        <v>310</v>
      </c>
      <c r="D11" t="s">
        <v>292</v>
      </c>
      <c r="E11" t="s">
        <v>288</v>
      </c>
      <c r="F11">
        <v>110</v>
      </c>
      <c r="G11" t="s">
        <v>37</v>
      </c>
      <c r="H11" t="s">
        <v>311</v>
      </c>
      <c r="I11" t="s">
        <v>312</v>
      </c>
      <c r="J11">
        <v>5270</v>
      </c>
      <c r="K11">
        <v>0.14399999999999999</v>
      </c>
      <c r="L11">
        <v>15.84</v>
      </c>
      <c r="AA11" s="3" t="s">
        <v>116</v>
      </c>
    </row>
    <row r="12" spans="1:27" x14ac:dyDescent="0.2">
      <c r="A12">
        <v>12</v>
      </c>
      <c r="B12">
        <v>2838469</v>
      </c>
      <c r="C12" t="s">
        <v>310</v>
      </c>
      <c r="D12" t="s">
        <v>303</v>
      </c>
      <c r="E12" t="s">
        <v>288</v>
      </c>
      <c r="F12">
        <v>70</v>
      </c>
      <c r="G12" t="s">
        <v>134</v>
      </c>
      <c r="H12" t="s">
        <v>330</v>
      </c>
      <c r="I12" t="s">
        <v>331</v>
      </c>
      <c r="J12">
        <v>3820</v>
      </c>
      <c r="K12">
        <v>7.5999999999999998E-2</v>
      </c>
      <c r="L12">
        <v>5.32</v>
      </c>
      <c r="AA12" s="3" t="s">
        <v>122</v>
      </c>
    </row>
    <row r="13" spans="1:27" x14ac:dyDescent="0.2">
      <c r="A13">
        <v>7</v>
      </c>
      <c r="B13">
        <v>2774580</v>
      </c>
      <c r="C13" t="s">
        <v>310</v>
      </c>
      <c r="D13" t="s">
        <v>298</v>
      </c>
      <c r="E13" t="s">
        <v>288</v>
      </c>
      <c r="F13">
        <v>30</v>
      </c>
      <c r="G13" t="s">
        <v>80</v>
      </c>
      <c r="H13" t="s">
        <v>320</v>
      </c>
      <c r="I13" t="s">
        <v>321</v>
      </c>
      <c r="J13">
        <v>6230</v>
      </c>
      <c r="K13">
        <v>6.83E-2</v>
      </c>
      <c r="L13">
        <v>2.0499999999999998</v>
      </c>
      <c r="AA13" s="3" t="s">
        <v>134</v>
      </c>
    </row>
    <row r="14" spans="1:27" x14ac:dyDescent="0.2">
      <c r="B14"/>
      <c r="G14"/>
    </row>
    <row r="15" spans="1:27" x14ac:dyDescent="0.2">
      <c r="B15"/>
      <c r="G15"/>
      <c r="H15" t="s">
        <v>332</v>
      </c>
      <c r="I15">
        <v>41.98</v>
      </c>
    </row>
    <row r="16" spans="1:27" x14ac:dyDescent="0.2">
      <c r="B16"/>
      <c r="G16"/>
      <c r="H16" t="s">
        <v>333</v>
      </c>
      <c r="I16">
        <v>41.98</v>
      </c>
    </row>
    <row r="17" spans="2:9" x14ac:dyDescent="0.2">
      <c r="B17"/>
      <c r="G17"/>
      <c r="H17" t="s">
        <v>224</v>
      </c>
      <c r="I17">
        <v>0</v>
      </c>
    </row>
    <row r="18" spans="2:9" x14ac:dyDescent="0.2">
      <c r="B18"/>
      <c r="G18"/>
      <c r="H18" t="s">
        <v>281</v>
      </c>
      <c r="I18">
        <v>8.4</v>
      </c>
    </row>
    <row r="19" spans="2:9" x14ac:dyDescent="0.2">
      <c r="B19"/>
      <c r="G19"/>
      <c r="H19" t="s">
        <v>5</v>
      </c>
      <c r="I19">
        <v>50.38</v>
      </c>
    </row>
  </sheetData>
  <autoFilter ref="A1:M1" xr:uid="{8E9FD5B2-76D2-4A5A-AAAE-47AE8956700C}">
    <sortState xmlns:xlrd2="http://schemas.microsoft.com/office/spreadsheetml/2017/richdata2" ref="A2:M13">
      <sortCondition ref="G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6217-DEEC-4A10-BE66-BE4D840F341C}">
  <sheetPr>
    <tabColor rgb="FFFF0000"/>
  </sheetPr>
  <dimension ref="A1:AA6"/>
  <sheetViews>
    <sheetView workbookViewId="0"/>
  </sheetViews>
  <sheetFormatPr defaultRowHeight="12.75" x14ac:dyDescent="0.2"/>
  <cols>
    <col min="3" max="4" width="9.140625" style="3"/>
    <col min="14" max="14" width="9.140625" style="3"/>
    <col min="19" max="19" width="9.140625" style="3"/>
    <col min="27" max="27" width="9.140625" style="3"/>
  </cols>
  <sheetData>
    <row r="1" spans="1:27" x14ac:dyDescent="0.2">
      <c r="A1" s="1" t="s">
        <v>190</v>
      </c>
    </row>
    <row r="2" spans="1:27" ht="15" x14ac:dyDescent="0.25">
      <c r="A2" s="93">
        <v>3</v>
      </c>
      <c r="B2" s="93">
        <v>100</v>
      </c>
      <c r="C2" s="92" t="s">
        <v>129</v>
      </c>
      <c r="D2" s="92" t="s">
        <v>128</v>
      </c>
      <c r="E2" s="92" t="s">
        <v>336</v>
      </c>
      <c r="F2" s="92" t="s">
        <v>306</v>
      </c>
      <c r="G2" s="93">
        <v>100</v>
      </c>
      <c r="H2" s="93">
        <v>0</v>
      </c>
      <c r="I2" s="92">
        <v>0.29670000000000002</v>
      </c>
      <c r="J2" s="94">
        <v>29.67</v>
      </c>
      <c r="AA2" s="3" t="s">
        <v>68</v>
      </c>
    </row>
    <row r="3" spans="1:27" ht="15" x14ac:dyDescent="0.25">
      <c r="A3" s="93">
        <v>1</v>
      </c>
      <c r="B3" s="93">
        <v>140</v>
      </c>
      <c r="C3" s="92" t="s">
        <v>69</v>
      </c>
      <c r="D3" s="92" t="s">
        <v>68</v>
      </c>
      <c r="E3" s="92" t="s">
        <v>334</v>
      </c>
      <c r="F3" s="92" t="s">
        <v>304</v>
      </c>
      <c r="G3" s="93">
        <v>140</v>
      </c>
      <c r="H3" s="93">
        <v>0</v>
      </c>
      <c r="I3" s="92">
        <v>0.25469999999999998</v>
      </c>
      <c r="J3" s="94">
        <v>35.659999999999997</v>
      </c>
      <c r="AA3" s="3" t="s">
        <v>110</v>
      </c>
    </row>
    <row r="4" spans="1:27" ht="15" x14ac:dyDescent="0.25">
      <c r="A4" s="93">
        <v>4</v>
      </c>
      <c r="B4" s="93">
        <v>20</v>
      </c>
      <c r="C4" s="92" t="s">
        <v>141</v>
      </c>
      <c r="D4" s="92" t="s">
        <v>140</v>
      </c>
      <c r="E4" s="92" t="s">
        <v>337</v>
      </c>
      <c r="F4" s="92" t="s">
        <v>307</v>
      </c>
      <c r="G4" s="93">
        <v>20</v>
      </c>
      <c r="H4" s="93">
        <v>0</v>
      </c>
      <c r="I4" s="92">
        <v>8.6140000000000008</v>
      </c>
      <c r="J4" s="94">
        <v>172.28</v>
      </c>
      <c r="AA4" s="3" t="s">
        <v>128</v>
      </c>
    </row>
    <row r="5" spans="1:27" ht="15" x14ac:dyDescent="0.25">
      <c r="A5" s="93">
        <v>2</v>
      </c>
      <c r="B5" s="93">
        <v>100</v>
      </c>
      <c r="C5" s="92" t="s">
        <v>111</v>
      </c>
      <c r="D5" s="92" t="s">
        <v>110</v>
      </c>
      <c r="E5" s="92" t="s">
        <v>335</v>
      </c>
      <c r="F5" s="92" t="s">
        <v>305</v>
      </c>
      <c r="G5" s="93">
        <v>100</v>
      </c>
      <c r="H5" s="93">
        <v>0</v>
      </c>
      <c r="I5" s="92">
        <v>0.1018</v>
      </c>
      <c r="J5" s="94">
        <v>10.18</v>
      </c>
      <c r="AA5" s="3" t="s">
        <v>140</v>
      </c>
    </row>
    <row r="6" spans="1:27" x14ac:dyDescent="0.2">
      <c r="N6" s="3" t="s">
        <v>338</v>
      </c>
      <c r="S6" s="3" t="s">
        <v>339</v>
      </c>
    </row>
  </sheetData>
  <autoFilter ref="A1:J1" xr:uid="{F4F46217-DEEC-4A10-BE66-BE4D840F341C}">
    <sortState xmlns:xlrd2="http://schemas.microsoft.com/office/spreadsheetml/2017/richdata2" ref="A2:J5">
      <sortCondition ref="D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9119-52E0-432A-8B8E-66C7C5BC3AB7}">
  <sheetPr>
    <tabColor theme="3"/>
  </sheetPr>
  <dimension ref="A1:AA1"/>
  <sheetViews>
    <sheetView workbookViewId="0"/>
  </sheetViews>
  <sheetFormatPr defaultRowHeight="12.75" x14ac:dyDescent="0.2"/>
  <cols>
    <col min="2" max="3" width="9.140625" style="3"/>
    <col min="14" max="14" width="9.140625" style="3"/>
    <col min="19" max="19" width="9.140625" style="3"/>
    <col min="27" max="27" width="9.140625" style="3"/>
  </cols>
  <sheetData>
    <row r="1" spans="1:1" x14ac:dyDescent="0.2">
      <c r="A1" s="1" t="s">
        <v>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D572-FD92-45C1-AF07-994A781407CF}">
  <sheetPr>
    <tabColor theme="1"/>
  </sheetPr>
  <dimension ref="A1:AE30"/>
  <sheetViews>
    <sheetView workbookViewId="0">
      <selection activeCell="P2" sqref="P2"/>
    </sheetView>
  </sheetViews>
  <sheetFormatPr defaultRowHeight="12.75" x14ac:dyDescent="0.2"/>
  <cols>
    <col min="1" max="17" width="15.7109375" style="17" customWidth="1"/>
    <col min="18" max="16384" width="9.140625" style="17"/>
  </cols>
  <sheetData>
    <row r="1" spans="1:31" ht="38.1" customHeight="1" x14ac:dyDescent="0.2">
      <c r="A1" s="18" t="s">
        <v>180</v>
      </c>
      <c r="B1" s="18" t="s">
        <v>181</v>
      </c>
      <c r="C1" s="18" t="s">
        <v>182</v>
      </c>
      <c r="D1" s="18" t="s">
        <v>183</v>
      </c>
      <c r="E1" s="18" t="s">
        <v>184</v>
      </c>
      <c r="F1" s="18" t="s">
        <v>20</v>
      </c>
      <c r="G1" s="18" t="s">
        <v>167</v>
      </c>
      <c r="H1" s="18" t="s">
        <v>185</v>
      </c>
      <c r="I1" s="18" t="s">
        <v>171</v>
      </c>
      <c r="J1" s="18" t="s">
        <v>170</v>
      </c>
      <c r="K1" s="18" t="s">
        <v>172</v>
      </c>
      <c r="L1" s="18" t="s">
        <v>168</v>
      </c>
      <c r="M1" s="18" t="s">
        <v>186</v>
      </c>
      <c r="N1" s="18" t="s">
        <v>187</v>
      </c>
      <c r="O1" s="18" t="s">
        <v>188</v>
      </c>
      <c r="P1" s="18" t="s">
        <v>189</v>
      </c>
      <c r="Q1" s="18" t="s">
        <v>199</v>
      </c>
      <c r="R1" s="18" t="s">
        <v>200</v>
      </c>
      <c r="S1" s="18" t="s">
        <v>201</v>
      </c>
      <c r="T1" s="18" t="s">
        <v>202</v>
      </c>
      <c r="U1" s="18" t="s">
        <v>203</v>
      </c>
      <c r="V1" s="18" t="s">
        <v>204</v>
      </c>
      <c r="W1" s="18" t="s">
        <v>205</v>
      </c>
      <c r="X1" s="18" t="s">
        <v>207</v>
      </c>
      <c r="Y1" s="18" t="s">
        <v>208</v>
      </c>
      <c r="Z1" s="18" t="s">
        <v>209</v>
      </c>
      <c r="AA1" s="18" t="s">
        <v>210</v>
      </c>
      <c r="AB1" s="18" t="s">
        <v>211</v>
      </c>
      <c r="AC1" s="18" t="s">
        <v>3</v>
      </c>
      <c r="AD1" s="18" t="s">
        <v>212</v>
      </c>
      <c r="AE1" s="18" t="s">
        <v>213</v>
      </c>
    </row>
    <row r="2" spans="1:31" x14ac:dyDescent="0.2">
      <c r="A2" s="17" t="e">
        <f>IF(BOM!#REF!="",0,IF(BOM!#REF!&lt;=BOM!#REF!,IF(ISNUMBER(SEARCH("exact",BOM!#REF!))=TRUE,2,IF(OR(F2=1,J2=1,K2=1),1,3)),1))</f>
        <v>#REF!</v>
      </c>
      <c r="B2" s="17">
        <f>IF(BOM!D2="",0,IF(ISNUMBER(SEARCH(BOM!D2,BOM!#REF!))=TRUE,1,0))</f>
        <v>0</v>
      </c>
      <c r="C2" s="17" t="e">
        <f>IF(BOM!#REF!="",0,IF(ISNUMBER(SEARCH(BOM!#REF!,BOM!#REF!))=TRUE,1,0))</f>
        <v>#REF!</v>
      </c>
      <c r="D2" s="17" t="e">
        <f>IF(OR($B2=1,$C2=1),1,IF(OR(F2=1,J2=1,K2=1),1,0))</f>
        <v>#REF!</v>
      </c>
      <c r="E2" s="17" t="e">
        <f>IF(AND(OR($A2=1,$A2=2,$F2=1,$J2=1),OR($B2=1,$C2=1,$F2=1,$H2=1,$J2=1,$K2=1)),1,0)</f>
        <v>#REF!</v>
      </c>
      <c r="F2" s="17" t="e">
        <f>IF(OR(BOM!#REF!="true",BOM!#REF!="FI",BOM!#REF!="Free Issue"),1,0)</f>
        <v>#REF!</v>
      </c>
      <c r="G2" s="17">
        <f>IF(OR(ISNUMBER(SEARCH("approved",BOM!#REF!)),ISNUMBER(SEARCH("ok to use",BOM!#REF!)))=TRUE,0,(IF(OR(ISNUMBER(SEARCH("alt",BOM!#REF!)),ISNUMBER(SEARCH("alternative",BOM!#REF!)))=TRUE,1,0)))</f>
        <v>0</v>
      </c>
      <c r="H2" s="17">
        <f>IF(OR(ISNUMBER(SEARCH("approved",BOM!#REF!)),ISNUMBER(SEARCH("ok to use",BOM!#REF!)))=TRUE,1,0)</f>
        <v>0</v>
      </c>
      <c r="I2" s="17">
        <f>IF(OR(ISNUMBER(SEARCH("long lead",BOM!#REF!)),ISNUMBER(SEARCH("longlead",BOM!#REF!)))=TRUE,1,0)</f>
        <v>0</v>
      </c>
      <c r="J2" s="17" t="e">
        <f>IF(OR(ISNUMBER(SEARCH("c",BOM!#REF!)),ISNUMBER(SEARCH("r",BOM!#REF!)),(BOM!#REF!="Stock"))=TRUE,1,0)</f>
        <v>#REF!</v>
      </c>
      <c r="K2" s="17">
        <f>IF(OR(ISNUMBER(SEARCH("dnp",BOM!#REF!)),ISNUMBER(SEARCH("dnf",BOM!#REF!)),ISNUMBER(SEARCH("not fitted",BOM!#REF!)))=TRUE,1,0)</f>
        <v>0</v>
      </c>
      <c r="L2" s="17" t="e">
        <f>IF(AND(OR(BOM!#REF!="",BOM!$D2=""),BOM!$A2&gt;0),IF(OR($F2=1,$J2=1,$K2=1),0,1),0)</f>
        <v>#REF!</v>
      </c>
      <c r="M2" s="17" t="e">
        <f>(BOM!#REF!-BOM!#REF!)*BOM!#REF!</f>
        <v>#REF!</v>
      </c>
      <c r="N2" s="17" t="e">
        <f>COUNTIF(BOM!#REF!,"Farnell")</f>
        <v>#REF!</v>
      </c>
      <c r="O2" s="17" t="e">
        <f>COUNTIF(BOM!#REF!,"Digi-Key")</f>
        <v>#REF!</v>
      </c>
      <c r="P2" s="17">
        <v>3</v>
      </c>
      <c r="Q2" s="17" t="e">
        <f>COUNTIF(BOM!#REF!,"Mouser")</f>
        <v>#REF!</v>
      </c>
      <c r="R2" s="17">
        <f>COUNTIF(BCFAR!$A:$A,"&gt;0")</f>
        <v>12</v>
      </c>
      <c r="S2" s="17">
        <f>COUNTIF(BCDIG!$A:$A,"&gt;0")</f>
        <v>4</v>
      </c>
      <c r="T2" s="17">
        <f>COUNTIF(BCMOU!$A$10:$A$500,"&gt;0")</f>
        <v>0</v>
      </c>
      <c r="U2" s="17">
        <v>0</v>
      </c>
      <c r="V2" s="17">
        <v>0</v>
      </c>
      <c r="W2" s="17" t="s">
        <v>206</v>
      </c>
      <c r="X2" s="17">
        <v>0</v>
      </c>
      <c r="Y2" s="17">
        <v>0</v>
      </c>
      <c r="Z2" s="41">
        <v>45169.636793981481</v>
      </c>
      <c r="AA2" s="17" t="e">
        <f>SUM($L:$L)</f>
        <v>#REF!</v>
      </c>
      <c r="AB2" s="17">
        <v>0</v>
      </c>
      <c r="AC2" s="17" t="e">
        <f>COUNTIF(BOM!#REF!,"RS")</f>
        <v>#REF!</v>
      </c>
      <c r="AE2" s="17" t="str">
        <f>IFERROR((Purchasing!Q14/Purchasing!K11),"0")</f>
        <v>0</v>
      </c>
    </row>
    <row r="3" spans="1:31" x14ac:dyDescent="0.2">
      <c r="A3" s="17" t="e">
        <f>IF(BOM!#REF!="",0,IF(BOM!#REF!&lt;=BOM!#REF!,IF(ISNUMBER(SEARCH("exact",BOM!#REF!))=TRUE,2,IF(OR(F3=1,J3=1,K3=1),1,3)),1))</f>
        <v>#REF!</v>
      </c>
      <c r="B3" s="17">
        <f>IF(BOM!D3="",0,IF(ISNUMBER(SEARCH(BOM!D3,BOM!#REF!))=TRUE,1,0))</f>
        <v>0</v>
      </c>
      <c r="C3" s="17" t="e">
        <f>IF(BOM!#REF!="",0,IF(ISNUMBER(SEARCH(BOM!#REF!,BOM!#REF!))=TRUE,1,0))</f>
        <v>#REF!</v>
      </c>
      <c r="D3" s="17" t="e">
        <f t="shared" ref="D3:D20" si="0">IF(OR($B3=1,$C3=1),1,IF(OR(F3=1,J3=1,K3=1),1,0))</f>
        <v>#REF!</v>
      </c>
      <c r="E3" s="17" t="e">
        <f t="shared" ref="E3:E20" si="1">IF(AND(OR($A3=1,$A3=2,$F3=1,$J3=1),OR($B3=1,$C3=1,$F3=1,$H3=1,$J3=1,$K3=1)),1,0)</f>
        <v>#REF!</v>
      </c>
      <c r="F3" s="17" t="e">
        <f>IF(OR(BOM!#REF!="true",BOM!#REF!="FI",BOM!#REF!="Free Issue"),1,0)</f>
        <v>#REF!</v>
      </c>
      <c r="G3" s="17">
        <f>IF(OR(ISNUMBER(SEARCH("approved",BOM!#REF!)),ISNUMBER(SEARCH("ok to use",BOM!#REF!)))=TRUE,0,(IF(OR(ISNUMBER(SEARCH("alt",BOM!#REF!)),ISNUMBER(SEARCH("alternative",BOM!#REF!)))=TRUE,1,0)))</f>
        <v>0</v>
      </c>
      <c r="H3" s="17">
        <f>IF(OR(ISNUMBER(SEARCH("approved",BOM!#REF!)),ISNUMBER(SEARCH("ok to use",BOM!#REF!)))=TRUE,1,0)</f>
        <v>0</v>
      </c>
      <c r="I3" s="17">
        <f>IF(OR(ISNUMBER(SEARCH("long lead",BOM!#REF!)),ISNUMBER(SEARCH("longlead",BOM!#REF!)))=TRUE,1,0)</f>
        <v>0</v>
      </c>
      <c r="J3" s="17" t="e">
        <f>IF(OR(ISNUMBER(SEARCH("c",BOM!#REF!)),ISNUMBER(SEARCH("r",BOM!#REF!)),(BOM!#REF!="Stock"))=TRUE,1,0)</f>
        <v>#REF!</v>
      </c>
      <c r="K3" s="17">
        <f>IF(OR(ISNUMBER(SEARCH("dnp",BOM!#REF!)),ISNUMBER(SEARCH("dnf",BOM!#REF!)),ISNUMBER(SEARCH("not fitted",BOM!#REF!)))=TRUE,1,0)</f>
        <v>0</v>
      </c>
      <c r="L3" s="17" t="e">
        <f>IF(AND(OR(BOM!#REF!="",BOM!$D3=""),BOM!$A3&gt;0),IF(OR($F3=1,$J3=1,$K3=1),0,1),0)</f>
        <v>#REF!</v>
      </c>
      <c r="M3" s="17" t="e">
        <f>(BOM!#REF!-BOM!#REF!)*BOM!#REF!</f>
        <v>#REF!</v>
      </c>
      <c r="P3" s="17">
        <v>1</v>
      </c>
      <c r="U3" s="17">
        <v>0</v>
      </c>
      <c r="X3" s="17">
        <v>0</v>
      </c>
      <c r="Y3" s="17">
        <v>0</v>
      </c>
      <c r="AA3" s="17" t="e">
        <f>SUM($E:$E)</f>
        <v>#REF!</v>
      </c>
      <c r="AB3" s="17">
        <v>0</v>
      </c>
      <c r="AE3" s="17" t="str">
        <f>IFERROR(Purchasing!K15/Purchasing!K11,"No Baskets")</f>
        <v>No Baskets</v>
      </c>
    </row>
    <row r="4" spans="1:31" x14ac:dyDescent="0.2">
      <c r="A4" s="17" t="e">
        <f>IF(BOM!#REF!="",0,IF(BOM!#REF!&lt;=BOM!#REF!,IF(ISNUMBER(SEARCH("exact",BOM!#REF!))=TRUE,2,IF(OR(F4=1,J4=1,K4=1),1,3)),1))</f>
        <v>#REF!</v>
      </c>
      <c r="B4" s="17">
        <f>IF(BOM!D4="",0,IF(ISNUMBER(SEARCH(BOM!D4,BOM!#REF!))=TRUE,1,0))</f>
        <v>0</v>
      </c>
      <c r="C4" s="17" t="e">
        <f>IF(BOM!#REF!="",0,IF(ISNUMBER(SEARCH(BOM!#REF!,BOM!#REF!))=TRUE,1,0))</f>
        <v>#REF!</v>
      </c>
      <c r="D4" s="17" t="e">
        <f t="shared" si="0"/>
        <v>#REF!</v>
      </c>
      <c r="E4" s="17" t="e">
        <f t="shared" si="1"/>
        <v>#REF!</v>
      </c>
      <c r="F4" s="17" t="e">
        <f>IF(OR(BOM!#REF!="true",BOM!#REF!="FI",BOM!#REF!="Free Issue"),1,0)</f>
        <v>#REF!</v>
      </c>
      <c r="G4" s="17">
        <f>IF(OR(ISNUMBER(SEARCH("approved",BOM!#REF!)),ISNUMBER(SEARCH("ok to use",BOM!#REF!)))=TRUE,0,(IF(OR(ISNUMBER(SEARCH("alt",BOM!#REF!)),ISNUMBER(SEARCH("alternative",BOM!#REF!)))=TRUE,1,0)))</f>
        <v>0</v>
      </c>
      <c r="H4" s="17">
        <f>IF(OR(ISNUMBER(SEARCH("approved",BOM!#REF!)),ISNUMBER(SEARCH("ok to use",BOM!#REF!)))=TRUE,1,0)</f>
        <v>0</v>
      </c>
      <c r="I4" s="17">
        <f>IF(OR(ISNUMBER(SEARCH("long lead",BOM!#REF!)),ISNUMBER(SEARCH("longlead",BOM!#REF!)))=TRUE,1,0)</f>
        <v>0</v>
      </c>
      <c r="J4" s="17" t="e">
        <f>IF(OR(ISNUMBER(SEARCH("c",BOM!#REF!)),ISNUMBER(SEARCH("r",BOM!#REF!)),(BOM!#REF!="Stock"))=TRUE,1,0)</f>
        <v>#REF!</v>
      </c>
      <c r="K4" s="17">
        <f>IF(OR(ISNUMBER(SEARCH("dnp",BOM!#REF!)),ISNUMBER(SEARCH("dnf",BOM!#REF!)),ISNUMBER(SEARCH("not fitted",BOM!#REF!)))=TRUE,1,0)</f>
        <v>0</v>
      </c>
      <c r="L4" s="17" t="e">
        <f>IF(AND(OR(BOM!#REF!="",BOM!$D4=""),BOM!$A4&gt;0),IF(OR($F4=1,$J4=1,$K4=1),0,1),0)</f>
        <v>#REF!</v>
      </c>
      <c r="M4" s="17" t="e">
        <f>(BOM!#REF!-BOM!#REF!)*BOM!#REF!</f>
        <v>#REF!</v>
      </c>
      <c r="O4" s="40"/>
      <c r="P4" s="17">
        <v>1</v>
      </c>
      <c r="U4" s="17">
        <v>0</v>
      </c>
      <c r="X4" s="17">
        <v>0</v>
      </c>
      <c r="Y4" s="17">
        <v>0</v>
      </c>
      <c r="AA4" s="17">
        <f>SUM($X:$X)</f>
        <v>0</v>
      </c>
      <c r="AB4" s="17">
        <v>0</v>
      </c>
      <c r="AE4" s="17" t="e">
        <f>IF(SUM(BOM!#REF!)=0,"N/A",SUMIF(BOM!#REF!, "&gt;0"))</f>
        <v>#REF!</v>
      </c>
    </row>
    <row r="5" spans="1:31" x14ac:dyDescent="0.2">
      <c r="A5" s="17" t="e">
        <f>IF(BOM!#REF!="",0,IF(BOM!#REF!&lt;=BOM!#REF!,IF(ISNUMBER(SEARCH("exact",BOM!#REF!))=TRUE,2,IF(OR(F5=1,J5=1,K5=1),1,3)),1))</f>
        <v>#REF!</v>
      </c>
      <c r="B5" s="17">
        <f>IF(BOM!D5="",0,IF(ISNUMBER(SEARCH(BOM!D5,BOM!#REF!))=TRUE,1,0))</f>
        <v>0</v>
      </c>
      <c r="C5" s="17" t="e">
        <f>IF(BOM!#REF!="",0,IF(ISNUMBER(SEARCH(BOM!#REF!,BOM!#REF!))=TRUE,1,0))</f>
        <v>#REF!</v>
      </c>
      <c r="D5" s="17" t="e">
        <f t="shared" si="0"/>
        <v>#REF!</v>
      </c>
      <c r="E5" s="17" t="e">
        <f t="shared" si="1"/>
        <v>#REF!</v>
      </c>
      <c r="F5" s="17" t="e">
        <f>IF(OR(BOM!#REF!="true",BOM!#REF!="FI",BOM!#REF!="Free Issue"),1,0)</f>
        <v>#REF!</v>
      </c>
      <c r="G5" s="17">
        <f>IF(OR(ISNUMBER(SEARCH("approved",BOM!#REF!)),ISNUMBER(SEARCH("ok to use",BOM!#REF!)))=TRUE,0,(IF(OR(ISNUMBER(SEARCH("alt",BOM!#REF!)),ISNUMBER(SEARCH("alternative",BOM!#REF!)))=TRUE,1,0)))</f>
        <v>0</v>
      </c>
      <c r="H5" s="17">
        <f>IF(OR(ISNUMBER(SEARCH("approved",BOM!#REF!)),ISNUMBER(SEARCH("ok to use",BOM!#REF!)))=TRUE,1,0)</f>
        <v>0</v>
      </c>
      <c r="I5" s="17">
        <f>IF(OR(ISNUMBER(SEARCH("long lead",BOM!#REF!)),ISNUMBER(SEARCH("longlead",BOM!#REF!)))=TRUE,1,0)</f>
        <v>0</v>
      </c>
      <c r="J5" s="17" t="e">
        <f>IF(OR(ISNUMBER(SEARCH("c",BOM!#REF!)),ISNUMBER(SEARCH("r",BOM!#REF!)),(BOM!#REF!="Stock"))=TRUE,1,0)</f>
        <v>#REF!</v>
      </c>
      <c r="K5" s="17">
        <f>IF(OR(ISNUMBER(SEARCH("dnp",BOM!#REF!)),ISNUMBER(SEARCH("dnf",BOM!#REF!)),ISNUMBER(SEARCH("not fitted",BOM!#REF!)))=TRUE,1,0)</f>
        <v>0</v>
      </c>
      <c r="L5" s="17" t="e">
        <f>IF(AND(OR(BOM!#REF!="",BOM!$D5=""),BOM!$A5&gt;0),IF(OR($F5=1,$J5=1,$K5=1),0,1),0)</f>
        <v>#REF!</v>
      </c>
      <c r="M5" s="17" t="e">
        <f>(BOM!#REF!-BOM!#REF!)*BOM!#REF!</f>
        <v>#REF!</v>
      </c>
      <c r="P5" s="17">
        <v>0</v>
      </c>
      <c r="U5" s="17">
        <v>0</v>
      </c>
      <c r="X5" s="17">
        <v>0</v>
      </c>
      <c r="Y5" s="17">
        <v>0</v>
      </c>
      <c r="AA5" s="17">
        <v>1</v>
      </c>
      <c r="AB5" s="17">
        <v>0</v>
      </c>
      <c r="AE5" s="17" t="str">
        <f>IFERROR($AE$4/Overview!$S$35,"N/A")</f>
        <v>N/A</v>
      </c>
    </row>
    <row r="6" spans="1:31" x14ac:dyDescent="0.2">
      <c r="A6" s="17" t="e">
        <f>IF(BOM!#REF!="",0,IF(BOM!#REF!&lt;=BOM!#REF!,IF(ISNUMBER(SEARCH("exact",BOM!#REF!))=TRUE,2,IF(OR(F6=1,J6=1,K6=1),1,3)),1))</f>
        <v>#REF!</v>
      </c>
      <c r="B6" s="17">
        <f>IF(BOM!D6="",0,IF(ISNUMBER(SEARCH(BOM!D6,BOM!#REF!))=TRUE,1,0))</f>
        <v>0</v>
      </c>
      <c r="C6" s="17" t="e">
        <f>IF(BOM!#REF!="",0,IF(ISNUMBER(SEARCH(BOM!#REF!,BOM!#REF!))=TRUE,1,0))</f>
        <v>#REF!</v>
      </c>
      <c r="D6" s="17" t="e">
        <f t="shared" si="0"/>
        <v>#REF!</v>
      </c>
      <c r="E6" s="17" t="e">
        <f t="shared" si="1"/>
        <v>#REF!</v>
      </c>
      <c r="F6" s="17" t="e">
        <f>IF(OR(BOM!#REF!="true",BOM!#REF!="FI",BOM!#REF!="Free Issue"),1,0)</f>
        <v>#REF!</v>
      </c>
      <c r="G6" s="17">
        <f>IF(OR(ISNUMBER(SEARCH("approved",BOM!#REF!)),ISNUMBER(SEARCH("ok to use",BOM!#REF!)))=TRUE,0,(IF(OR(ISNUMBER(SEARCH("alt",BOM!#REF!)),ISNUMBER(SEARCH("alternative",BOM!#REF!)))=TRUE,1,0)))</f>
        <v>0</v>
      </c>
      <c r="H6" s="17">
        <f>IF(OR(ISNUMBER(SEARCH("approved",BOM!#REF!)),ISNUMBER(SEARCH("ok to use",BOM!#REF!)))=TRUE,1,0)</f>
        <v>0</v>
      </c>
      <c r="I6" s="17">
        <f>IF(OR(ISNUMBER(SEARCH("long lead",BOM!#REF!)),ISNUMBER(SEARCH("longlead",BOM!#REF!)))=TRUE,1,0)</f>
        <v>0</v>
      </c>
      <c r="J6" s="17" t="e">
        <f>IF(OR(ISNUMBER(SEARCH("c",BOM!#REF!)),ISNUMBER(SEARCH("r",BOM!#REF!)),(BOM!#REF!="Stock"))=TRUE,1,0)</f>
        <v>#REF!</v>
      </c>
      <c r="K6" s="17">
        <f>IF(OR(ISNUMBER(SEARCH("dnp",BOM!#REF!)),ISNUMBER(SEARCH("dnf",BOM!#REF!)),ISNUMBER(SEARCH("not fitted",BOM!#REF!)))=TRUE,1,0)</f>
        <v>0</v>
      </c>
      <c r="L6" s="17" t="e">
        <f>IF(AND(OR(BOM!#REF!="",BOM!$D6=""),BOM!$A6&gt;0),IF(OR($F6=1,$J6=1,$K6=1),0,1),0)</f>
        <v>#REF!</v>
      </c>
      <c r="M6" s="17" t="e">
        <f>(BOM!#REF!-BOM!#REF!)*BOM!#REF!</f>
        <v>#REF!</v>
      </c>
      <c r="P6" s="17">
        <v>1</v>
      </c>
      <c r="X6" s="17">
        <v>0</v>
      </c>
      <c r="Y6" s="17">
        <v>0</v>
      </c>
      <c r="AB6" s="17">
        <v>0</v>
      </c>
    </row>
    <row r="7" spans="1:31" x14ac:dyDescent="0.2">
      <c r="A7" s="17" t="e">
        <f>IF(BOM!#REF!="",0,IF(BOM!#REF!&lt;=BOM!#REF!,IF(ISNUMBER(SEARCH("exact",BOM!#REF!))=TRUE,2,IF(OR(F7=1,J7=1,K7=1),1,3)),1))</f>
        <v>#REF!</v>
      </c>
      <c r="B7" s="17">
        <f>IF(BOM!D7="",0,IF(ISNUMBER(SEARCH(BOM!D7,BOM!#REF!))=TRUE,1,0))</f>
        <v>0</v>
      </c>
      <c r="C7" s="17" t="e">
        <f>IF(BOM!#REF!="",0,IF(ISNUMBER(SEARCH(BOM!#REF!,BOM!#REF!))=TRUE,1,0))</f>
        <v>#REF!</v>
      </c>
      <c r="D7" s="17" t="e">
        <f t="shared" si="0"/>
        <v>#REF!</v>
      </c>
      <c r="E7" s="17" t="e">
        <f t="shared" si="1"/>
        <v>#REF!</v>
      </c>
      <c r="F7" s="17" t="e">
        <f>IF(OR(BOM!#REF!="true",BOM!#REF!="FI",BOM!#REF!="Free Issue"),1,0)</f>
        <v>#REF!</v>
      </c>
      <c r="G7" s="17">
        <f>IF(OR(ISNUMBER(SEARCH("approved",BOM!#REF!)),ISNUMBER(SEARCH("ok to use",BOM!#REF!)))=TRUE,0,(IF(OR(ISNUMBER(SEARCH("alt",BOM!#REF!)),ISNUMBER(SEARCH("alternative",BOM!#REF!)))=TRUE,1,0)))</f>
        <v>0</v>
      </c>
      <c r="H7" s="17">
        <f>IF(OR(ISNUMBER(SEARCH("approved",BOM!#REF!)),ISNUMBER(SEARCH("ok to use",BOM!#REF!)))=TRUE,1,0)</f>
        <v>0</v>
      </c>
      <c r="I7" s="17">
        <f>IF(OR(ISNUMBER(SEARCH("long lead",BOM!#REF!)),ISNUMBER(SEARCH("longlead",BOM!#REF!)))=TRUE,1,0)</f>
        <v>0</v>
      </c>
      <c r="J7" s="17" t="e">
        <f>IF(OR(ISNUMBER(SEARCH("c",BOM!#REF!)),ISNUMBER(SEARCH("r",BOM!#REF!)),(BOM!#REF!="Stock"))=TRUE,1,0)</f>
        <v>#REF!</v>
      </c>
      <c r="K7" s="17">
        <f>IF(OR(ISNUMBER(SEARCH("dnp",BOM!#REF!)),ISNUMBER(SEARCH("dnf",BOM!#REF!)),ISNUMBER(SEARCH("not fitted",BOM!#REF!)))=TRUE,1,0)</f>
        <v>0</v>
      </c>
      <c r="L7" s="17" t="e">
        <f>IF(AND(OR(BOM!#REF!="",BOM!$D7=""),BOM!$A7&gt;0),IF(OR($F7=1,$J7=1,$K7=1),0,1),0)</f>
        <v>#REF!</v>
      </c>
      <c r="M7" s="17" t="e">
        <f>(BOM!#REF!-BOM!#REF!)*BOM!#REF!</f>
        <v>#REF!</v>
      </c>
      <c r="P7" s="17">
        <v>0</v>
      </c>
      <c r="X7" s="17">
        <v>0</v>
      </c>
      <c r="Y7" s="17">
        <v>0</v>
      </c>
      <c r="AB7" s="17">
        <v>0</v>
      </c>
    </row>
    <row r="8" spans="1:31" x14ac:dyDescent="0.2">
      <c r="A8" s="17" t="e">
        <f>IF(BOM!#REF!="",0,IF(BOM!#REF!&lt;=BOM!#REF!,IF(ISNUMBER(SEARCH("exact",BOM!#REF!))=TRUE,2,IF(OR(F8=1,J8=1,K8=1),1,3)),1))</f>
        <v>#REF!</v>
      </c>
      <c r="B8" s="17">
        <f>IF(BOM!D8="",0,IF(ISNUMBER(SEARCH(BOM!D8,BOM!#REF!))=TRUE,1,0))</f>
        <v>0</v>
      </c>
      <c r="C8" s="17" t="e">
        <f>IF(BOM!#REF!="",0,IF(ISNUMBER(SEARCH(BOM!#REF!,BOM!#REF!))=TRUE,1,0))</f>
        <v>#REF!</v>
      </c>
      <c r="D8" s="17" t="e">
        <f t="shared" si="0"/>
        <v>#REF!</v>
      </c>
      <c r="E8" s="17" t="e">
        <f t="shared" si="1"/>
        <v>#REF!</v>
      </c>
      <c r="F8" s="17" t="e">
        <f>IF(OR(BOM!#REF!="true",BOM!#REF!="FI",BOM!#REF!="Free Issue"),1,0)</f>
        <v>#REF!</v>
      </c>
      <c r="G8" s="17">
        <f>IF(OR(ISNUMBER(SEARCH("approved",BOM!#REF!)),ISNUMBER(SEARCH("ok to use",BOM!#REF!)))=TRUE,0,(IF(OR(ISNUMBER(SEARCH("alt",BOM!#REF!)),ISNUMBER(SEARCH("alternative",BOM!#REF!)))=TRUE,1,0)))</f>
        <v>0</v>
      </c>
      <c r="H8" s="17">
        <f>IF(OR(ISNUMBER(SEARCH("approved",BOM!#REF!)),ISNUMBER(SEARCH("ok to use",BOM!#REF!)))=TRUE,1,0)</f>
        <v>0</v>
      </c>
      <c r="I8" s="17">
        <f>IF(OR(ISNUMBER(SEARCH("long lead",BOM!#REF!)),ISNUMBER(SEARCH("longlead",BOM!#REF!)))=TRUE,1,0)</f>
        <v>0</v>
      </c>
      <c r="J8" s="17" t="e">
        <f>IF(OR(ISNUMBER(SEARCH("c",BOM!#REF!)),ISNUMBER(SEARCH("r",BOM!#REF!)),(BOM!#REF!="Stock"))=TRUE,1,0)</f>
        <v>#REF!</v>
      </c>
      <c r="K8" s="17">
        <f>IF(OR(ISNUMBER(SEARCH("dnp",BOM!#REF!)),ISNUMBER(SEARCH("dnf",BOM!#REF!)),ISNUMBER(SEARCH("not fitted",BOM!#REF!)))=TRUE,1,0)</f>
        <v>0</v>
      </c>
      <c r="L8" s="17" t="e">
        <f>IF(AND(OR(BOM!#REF!="",BOM!$D8=""),BOM!$A8&gt;0),IF(OR($F8=1,$J8=1,$K8=1),0,1),0)</f>
        <v>#REF!</v>
      </c>
      <c r="M8" s="17" t="e">
        <f>(BOM!#REF!-BOM!#REF!)*BOM!#REF!</f>
        <v>#REF!</v>
      </c>
      <c r="P8" s="17">
        <v>1</v>
      </c>
      <c r="X8" s="17">
        <v>0</v>
      </c>
      <c r="Y8" s="17">
        <v>0</v>
      </c>
    </row>
    <row r="9" spans="1:31" x14ac:dyDescent="0.2">
      <c r="A9" s="17" t="e">
        <f>IF(BOM!#REF!="",0,IF(BOM!#REF!&lt;=BOM!#REF!,IF(ISNUMBER(SEARCH("exact",BOM!#REF!))=TRUE,2,IF(OR(F9=1,J9=1,K9=1),1,3)),1))</f>
        <v>#REF!</v>
      </c>
      <c r="B9" s="17">
        <f>IF(BOM!D9="",0,IF(ISNUMBER(SEARCH(BOM!D9,BOM!#REF!))=TRUE,1,0))</f>
        <v>0</v>
      </c>
      <c r="C9" s="17" t="e">
        <f>IF(BOM!#REF!="",0,IF(ISNUMBER(SEARCH(BOM!#REF!,BOM!#REF!))=TRUE,1,0))</f>
        <v>#REF!</v>
      </c>
      <c r="D9" s="17" t="e">
        <f t="shared" si="0"/>
        <v>#REF!</v>
      </c>
      <c r="E9" s="17" t="e">
        <f t="shared" si="1"/>
        <v>#REF!</v>
      </c>
      <c r="F9" s="17" t="e">
        <f>IF(OR(BOM!#REF!="true",BOM!#REF!="FI",BOM!#REF!="Free Issue"),1,0)</f>
        <v>#REF!</v>
      </c>
      <c r="G9" s="17">
        <f>IF(OR(ISNUMBER(SEARCH("approved",BOM!#REF!)),ISNUMBER(SEARCH("ok to use",BOM!#REF!)))=TRUE,0,(IF(OR(ISNUMBER(SEARCH("alt",BOM!#REF!)),ISNUMBER(SEARCH("alternative",BOM!#REF!)))=TRUE,1,0)))</f>
        <v>0</v>
      </c>
      <c r="H9" s="17">
        <f>IF(OR(ISNUMBER(SEARCH("approved",BOM!#REF!)),ISNUMBER(SEARCH("ok to use",BOM!#REF!)))=TRUE,1,0)</f>
        <v>0</v>
      </c>
      <c r="I9" s="17">
        <f>IF(OR(ISNUMBER(SEARCH("long lead",BOM!#REF!)),ISNUMBER(SEARCH("longlead",BOM!#REF!)))=TRUE,1,0)</f>
        <v>0</v>
      </c>
      <c r="J9" s="17" t="e">
        <f>IF(OR(ISNUMBER(SEARCH("c",BOM!#REF!)),ISNUMBER(SEARCH("r",BOM!#REF!)),(BOM!#REF!="Stock"))=TRUE,1,0)</f>
        <v>#REF!</v>
      </c>
      <c r="K9" s="17">
        <f>IF(OR(ISNUMBER(SEARCH("dnp",BOM!#REF!)),ISNUMBER(SEARCH("dnf",BOM!#REF!)),ISNUMBER(SEARCH("not fitted",BOM!#REF!)))=TRUE,1,0)</f>
        <v>0</v>
      </c>
      <c r="L9" s="17" t="e">
        <f>IF(AND(OR(BOM!#REF!="",BOM!$D9=""),BOM!$A9&gt;0),IF(OR($F9=1,$J9=1,$K9=1),0,1),0)</f>
        <v>#REF!</v>
      </c>
      <c r="M9" s="17" t="e">
        <f>(BOM!#REF!-BOM!#REF!)*BOM!#REF!</f>
        <v>#REF!</v>
      </c>
      <c r="P9" s="17">
        <v>0</v>
      </c>
      <c r="X9" s="17">
        <v>0</v>
      </c>
      <c r="Y9" s="17">
        <v>0</v>
      </c>
    </row>
    <row r="10" spans="1:31" x14ac:dyDescent="0.2">
      <c r="A10" s="17" t="e">
        <f>IF(BOM!#REF!="",0,IF(BOM!#REF!&lt;=BOM!#REF!,IF(ISNUMBER(SEARCH("exact",BOM!#REF!))=TRUE,2,IF(OR(F10=1,J10=1,K10=1),1,3)),1))</f>
        <v>#REF!</v>
      </c>
      <c r="B10" s="17">
        <f>IF(BOM!D10="",0,IF(ISNUMBER(SEARCH(BOM!D10,BOM!#REF!))=TRUE,1,0))</f>
        <v>0</v>
      </c>
      <c r="C10" s="17" t="e">
        <f>IF(BOM!#REF!="",0,IF(ISNUMBER(SEARCH(BOM!#REF!,BOM!#REF!))=TRUE,1,0))</f>
        <v>#REF!</v>
      </c>
      <c r="D10" s="17" t="e">
        <f t="shared" si="0"/>
        <v>#REF!</v>
      </c>
      <c r="E10" s="17" t="e">
        <f t="shared" si="1"/>
        <v>#REF!</v>
      </c>
      <c r="F10" s="17" t="e">
        <f>IF(OR(BOM!#REF!="true",BOM!#REF!="FI",BOM!#REF!="Free Issue"),1,0)</f>
        <v>#REF!</v>
      </c>
      <c r="G10" s="17">
        <f>IF(OR(ISNUMBER(SEARCH("approved",BOM!#REF!)),ISNUMBER(SEARCH("ok to use",BOM!#REF!)))=TRUE,0,(IF(OR(ISNUMBER(SEARCH("alt",BOM!#REF!)),ISNUMBER(SEARCH("alternative",BOM!#REF!)))=TRUE,1,0)))</f>
        <v>0</v>
      </c>
      <c r="H10" s="17">
        <f>IF(OR(ISNUMBER(SEARCH("approved",BOM!#REF!)),ISNUMBER(SEARCH("ok to use",BOM!#REF!)))=TRUE,1,0)</f>
        <v>0</v>
      </c>
      <c r="I10" s="17">
        <f>IF(OR(ISNUMBER(SEARCH("long lead",BOM!#REF!)),ISNUMBER(SEARCH("longlead",BOM!#REF!)))=TRUE,1,0)</f>
        <v>0</v>
      </c>
      <c r="J10" s="17" t="e">
        <f>IF(OR(ISNUMBER(SEARCH("c",BOM!#REF!)),ISNUMBER(SEARCH("r",BOM!#REF!)),(BOM!#REF!="Stock"))=TRUE,1,0)</f>
        <v>#REF!</v>
      </c>
      <c r="K10" s="17">
        <f>IF(OR(ISNUMBER(SEARCH("dnp",BOM!#REF!)),ISNUMBER(SEARCH("dnf",BOM!#REF!)),ISNUMBER(SEARCH("not fitted",BOM!#REF!)))=TRUE,1,0)</f>
        <v>0</v>
      </c>
      <c r="L10" s="17" t="e">
        <f>IF(AND(OR(BOM!#REF!="",BOM!$D10=""),BOM!$A10&gt;0),IF(OR($F10=1,$J10=1,$K10=1),0,1),0)</f>
        <v>#REF!</v>
      </c>
      <c r="M10" s="17" t="e">
        <f>(BOM!#REF!-BOM!#REF!)*BOM!#REF!</f>
        <v>#REF!</v>
      </c>
      <c r="P10" s="17" t="e">
        <f>IF(Purchasing!$K$15&gt;0,IF(Purchasing!$K$15="No Baskets",0,1),0)</f>
        <v>#REF!</v>
      </c>
      <c r="X10" s="17">
        <v>0</v>
      </c>
      <c r="Y10" s="17">
        <v>0</v>
      </c>
    </row>
    <row r="11" spans="1:31" x14ac:dyDescent="0.2">
      <c r="A11" s="17" t="e">
        <f>IF(BOM!#REF!="",0,IF(BOM!#REF!&lt;=BOM!#REF!,IF(ISNUMBER(SEARCH("exact",BOM!#REF!))=TRUE,2,IF(OR(F11=1,J11=1,K11=1),1,3)),1))</f>
        <v>#REF!</v>
      </c>
      <c r="B11" s="17">
        <f>IF(BOM!D11="",0,IF(ISNUMBER(SEARCH(BOM!D11,BOM!#REF!))=TRUE,1,0))</f>
        <v>0</v>
      </c>
      <c r="C11" s="17" t="e">
        <f>IF(BOM!#REF!="",0,IF(ISNUMBER(SEARCH(BOM!#REF!,BOM!#REF!))=TRUE,1,0))</f>
        <v>#REF!</v>
      </c>
      <c r="D11" s="17" t="e">
        <f t="shared" si="0"/>
        <v>#REF!</v>
      </c>
      <c r="E11" s="17" t="e">
        <f t="shared" si="1"/>
        <v>#REF!</v>
      </c>
      <c r="F11" s="17" t="e">
        <f>IF(OR(BOM!#REF!="true",BOM!#REF!="FI",BOM!#REF!="Free Issue"),1,0)</f>
        <v>#REF!</v>
      </c>
      <c r="G11" s="17">
        <f>IF(OR(ISNUMBER(SEARCH("approved",BOM!#REF!)),ISNUMBER(SEARCH("ok to use",BOM!#REF!)))=TRUE,0,(IF(OR(ISNUMBER(SEARCH("alt",BOM!#REF!)),ISNUMBER(SEARCH("alternative",BOM!#REF!)))=TRUE,1,0)))</f>
        <v>0</v>
      </c>
      <c r="H11" s="17">
        <f>IF(OR(ISNUMBER(SEARCH("approved",BOM!#REF!)),ISNUMBER(SEARCH("ok to use",BOM!#REF!)))=TRUE,1,0)</f>
        <v>0</v>
      </c>
      <c r="I11" s="17">
        <f>IF(OR(ISNUMBER(SEARCH("long lead",BOM!#REF!)),ISNUMBER(SEARCH("longlead",BOM!#REF!)))=TRUE,1,0)</f>
        <v>0</v>
      </c>
      <c r="J11" s="17" t="e">
        <f>IF(OR(ISNUMBER(SEARCH("c",BOM!#REF!)),ISNUMBER(SEARCH("r",BOM!#REF!)),(BOM!#REF!="Stock"))=TRUE,1,0)</f>
        <v>#REF!</v>
      </c>
      <c r="K11" s="17">
        <f>IF(OR(ISNUMBER(SEARCH("dnp",BOM!#REF!)),ISNUMBER(SEARCH("dnf",BOM!#REF!)),ISNUMBER(SEARCH("not fitted",BOM!#REF!)))=TRUE,1,0)</f>
        <v>0</v>
      </c>
      <c r="L11" s="17" t="e">
        <f>IF(AND(OR(BOM!#REF!="",BOM!$D11=""),BOM!$A11&gt;0),IF(OR($F11=1,$J11=1,$K11=1),0,1),0)</f>
        <v>#REF!</v>
      </c>
      <c r="M11" s="17" t="e">
        <f>(BOM!#REF!-BOM!#REF!)*BOM!#REF!</f>
        <v>#REF!</v>
      </c>
      <c r="P11" s="17">
        <v>0</v>
      </c>
      <c r="X11" s="17">
        <v>0</v>
      </c>
      <c r="Y11" s="17">
        <v>0</v>
      </c>
    </row>
    <row r="12" spans="1:31" x14ac:dyDescent="0.2">
      <c r="A12" s="17" t="e">
        <f>IF(BOM!#REF!="",0,IF(BOM!#REF!&lt;=BOM!#REF!,IF(ISNUMBER(SEARCH("exact",BOM!#REF!))=TRUE,2,IF(OR(F12=1,J12=1,K12=1),1,3)),1))</f>
        <v>#REF!</v>
      </c>
      <c r="B12" s="17">
        <f>IF(BOM!D12="",0,IF(ISNUMBER(SEARCH(BOM!D12,BOM!#REF!))=TRUE,1,0))</f>
        <v>0</v>
      </c>
      <c r="C12" s="17" t="e">
        <f>IF(BOM!#REF!="",0,IF(ISNUMBER(SEARCH(BOM!#REF!,BOM!#REF!))=TRUE,1,0))</f>
        <v>#REF!</v>
      </c>
      <c r="D12" s="17" t="e">
        <f t="shared" si="0"/>
        <v>#REF!</v>
      </c>
      <c r="E12" s="17" t="e">
        <f t="shared" si="1"/>
        <v>#REF!</v>
      </c>
      <c r="F12" s="17" t="e">
        <f>IF(OR(BOM!#REF!="true",BOM!#REF!="FI",BOM!#REF!="Free Issue"),1,0)</f>
        <v>#REF!</v>
      </c>
      <c r="G12" s="17">
        <f>IF(OR(ISNUMBER(SEARCH("approved",BOM!#REF!)),ISNUMBER(SEARCH("ok to use",BOM!#REF!)))=TRUE,0,(IF(OR(ISNUMBER(SEARCH("alt",BOM!#REF!)),ISNUMBER(SEARCH("alternative",BOM!#REF!)))=TRUE,1,0)))</f>
        <v>0</v>
      </c>
      <c r="H12" s="17">
        <f>IF(OR(ISNUMBER(SEARCH("approved",BOM!#REF!)),ISNUMBER(SEARCH("ok to use",BOM!#REF!)))=TRUE,1,0)</f>
        <v>0</v>
      </c>
      <c r="I12" s="17">
        <f>IF(OR(ISNUMBER(SEARCH("long lead",BOM!#REF!)),ISNUMBER(SEARCH("longlead",BOM!#REF!)))=TRUE,1,0)</f>
        <v>0</v>
      </c>
      <c r="J12" s="17" t="e">
        <f>IF(OR(ISNUMBER(SEARCH("c",BOM!#REF!)),ISNUMBER(SEARCH("r",BOM!#REF!)),(BOM!#REF!="Stock"))=TRUE,1,0)</f>
        <v>#REF!</v>
      </c>
      <c r="K12" s="17">
        <f>IF(OR(ISNUMBER(SEARCH("dnp",BOM!#REF!)),ISNUMBER(SEARCH("dnf",BOM!#REF!)),ISNUMBER(SEARCH("not fitted",BOM!#REF!)))=TRUE,1,0)</f>
        <v>0</v>
      </c>
      <c r="L12" s="17" t="e">
        <f>IF(AND(OR(BOM!#REF!="",BOM!$D12=""),BOM!$A12&gt;0),IF(OR($F12=1,$J12=1,$K12=1),0,1),0)</f>
        <v>#REF!</v>
      </c>
      <c r="M12" s="17" t="e">
        <f>(BOM!#REF!-BOM!#REF!)*BOM!#REF!</f>
        <v>#REF!</v>
      </c>
      <c r="P12" s="17">
        <v>0</v>
      </c>
      <c r="X12" s="17">
        <v>0</v>
      </c>
      <c r="Y12" s="17">
        <v>0</v>
      </c>
    </row>
    <row r="13" spans="1:31" x14ac:dyDescent="0.2">
      <c r="A13" s="17" t="e">
        <f>IF(BOM!#REF!="",0,IF(BOM!#REF!&lt;=BOM!#REF!,IF(ISNUMBER(SEARCH("exact",BOM!#REF!))=TRUE,2,IF(OR(F13=1,J13=1,K13=1),1,3)),1))</f>
        <v>#REF!</v>
      </c>
      <c r="B13" s="17">
        <f>IF(BOM!D13="",0,IF(ISNUMBER(SEARCH(BOM!D13,BOM!#REF!))=TRUE,1,0))</f>
        <v>0</v>
      </c>
      <c r="C13" s="17" t="e">
        <f>IF(BOM!#REF!="",0,IF(ISNUMBER(SEARCH(BOM!#REF!,BOM!#REF!))=TRUE,1,0))</f>
        <v>#REF!</v>
      </c>
      <c r="D13" s="17" t="e">
        <f t="shared" si="0"/>
        <v>#REF!</v>
      </c>
      <c r="E13" s="17" t="e">
        <f t="shared" si="1"/>
        <v>#REF!</v>
      </c>
      <c r="F13" s="17" t="e">
        <f>IF(OR(BOM!#REF!="true",BOM!#REF!="FI",BOM!#REF!="Free Issue"),1,0)</f>
        <v>#REF!</v>
      </c>
      <c r="G13" s="17">
        <f>IF(OR(ISNUMBER(SEARCH("approved",BOM!#REF!)),ISNUMBER(SEARCH("ok to use",BOM!#REF!)))=TRUE,0,(IF(OR(ISNUMBER(SEARCH("alt",BOM!#REF!)),ISNUMBER(SEARCH("alternative",BOM!#REF!)))=TRUE,1,0)))</f>
        <v>0</v>
      </c>
      <c r="H13" s="17">
        <f>IF(OR(ISNUMBER(SEARCH("approved",BOM!#REF!)),ISNUMBER(SEARCH("ok to use",BOM!#REF!)))=TRUE,1,0)</f>
        <v>0</v>
      </c>
      <c r="I13" s="17">
        <f>IF(OR(ISNUMBER(SEARCH("long lead",BOM!#REF!)),ISNUMBER(SEARCH("longlead",BOM!#REF!)))=TRUE,1,0)</f>
        <v>0</v>
      </c>
      <c r="J13" s="17" t="e">
        <f>IF(OR(ISNUMBER(SEARCH("c",BOM!#REF!)),ISNUMBER(SEARCH("r",BOM!#REF!)),(BOM!#REF!="Stock"))=TRUE,1,0)</f>
        <v>#REF!</v>
      </c>
      <c r="K13" s="17">
        <f>IF(OR(ISNUMBER(SEARCH("dnp",BOM!#REF!)),ISNUMBER(SEARCH("dnf",BOM!#REF!)),ISNUMBER(SEARCH("not fitted",BOM!#REF!)))=TRUE,1,0)</f>
        <v>0</v>
      </c>
      <c r="L13" s="17" t="e">
        <f>IF(AND(OR(BOM!#REF!="",BOM!$D13=""),BOM!$A13&gt;0),IF(OR($F13=1,$J13=1,$K13=1),0,1),0)</f>
        <v>#REF!</v>
      </c>
      <c r="M13" s="17" t="e">
        <f>(BOM!#REF!-BOM!#REF!)*BOM!#REF!</f>
        <v>#REF!</v>
      </c>
      <c r="P13" s="17">
        <v>0</v>
      </c>
      <c r="X13" s="17">
        <v>0</v>
      </c>
      <c r="Y13" s="17">
        <v>0</v>
      </c>
    </row>
    <row r="14" spans="1:31" x14ac:dyDescent="0.2">
      <c r="A14" s="17" t="e">
        <f>IF(BOM!#REF!="",0,IF(BOM!#REF!&lt;=BOM!#REF!,IF(ISNUMBER(SEARCH("exact",BOM!#REF!))=TRUE,2,IF(OR(F14=1,J14=1,K14=1),1,3)),1))</f>
        <v>#REF!</v>
      </c>
      <c r="B14" s="17">
        <f>IF(BOM!D14="",0,IF(ISNUMBER(SEARCH(BOM!D14,BOM!#REF!))=TRUE,1,0))</f>
        <v>0</v>
      </c>
      <c r="C14" s="17" t="e">
        <f>IF(BOM!#REF!="",0,IF(ISNUMBER(SEARCH(BOM!#REF!,BOM!#REF!))=TRUE,1,0))</f>
        <v>#REF!</v>
      </c>
      <c r="D14" s="17" t="e">
        <f t="shared" si="0"/>
        <v>#REF!</v>
      </c>
      <c r="E14" s="17" t="e">
        <f t="shared" si="1"/>
        <v>#REF!</v>
      </c>
      <c r="F14" s="17" t="e">
        <f>IF(OR(BOM!#REF!="true",BOM!#REF!="FI",BOM!#REF!="Free Issue"),1,0)</f>
        <v>#REF!</v>
      </c>
      <c r="G14" s="17">
        <f>IF(OR(ISNUMBER(SEARCH("approved",BOM!#REF!)),ISNUMBER(SEARCH("ok to use",BOM!#REF!)))=TRUE,0,(IF(OR(ISNUMBER(SEARCH("alt",BOM!#REF!)),ISNUMBER(SEARCH("alternative",BOM!#REF!)))=TRUE,1,0)))</f>
        <v>0</v>
      </c>
      <c r="H14" s="17">
        <f>IF(OR(ISNUMBER(SEARCH("approved",BOM!#REF!)),ISNUMBER(SEARCH("ok to use",BOM!#REF!)))=TRUE,1,0)</f>
        <v>0</v>
      </c>
      <c r="I14" s="17">
        <f>IF(OR(ISNUMBER(SEARCH("long lead",BOM!#REF!)),ISNUMBER(SEARCH("longlead",BOM!#REF!)))=TRUE,1,0)</f>
        <v>0</v>
      </c>
      <c r="J14" s="17" t="e">
        <f>IF(OR(ISNUMBER(SEARCH("c",BOM!#REF!)),ISNUMBER(SEARCH("r",BOM!#REF!)),(BOM!#REF!="Stock"))=TRUE,1,0)</f>
        <v>#REF!</v>
      </c>
      <c r="K14" s="17">
        <f>IF(OR(ISNUMBER(SEARCH("dnp",BOM!#REF!)),ISNUMBER(SEARCH("dnf",BOM!#REF!)),ISNUMBER(SEARCH("not fitted",BOM!#REF!)))=TRUE,1,0)</f>
        <v>0</v>
      </c>
      <c r="L14" s="17" t="e">
        <f>IF(AND(OR(BOM!#REF!="",BOM!$D14=""),BOM!$A14&gt;0),IF(OR($F14=1,$J14=1,$K14=1),0,1),0)</f>
        <v>#REF!</v>
      </c>
      <c r="M14" s="17" t="e">
        <f>(BOM!#REF!-BOM!#REF!)*BOM!#REF!</f>
        <v>#REF!</v>
      </c>
      <c r="P14" s="17">
        <v>0</v>
      </c>
      <c r="X14" s="17">
        <v>0</v>
      </c>
      <c r="Y14" s="17">
        <v>0</v>
      </c>
    </row>
    <row r="15" spans="1:31" x14ac:dyDescent="0.2">
      <c r="A15" s="17" t="e">
        <f>IF(BOM!#REF!="",0,IF(BOM!#REF!&lt;=BOM!#REF!,IF(ISNUMBER(SEARCH("exact",BOM!#REF!))=TRUE,2,IF(OR(F15=1,J15=1,K15=1),1,3)),1))</f>
        <v>#REF!</v>
      </c>
      <c r="B15" s="17">
        <f>IF(BOM!D15="",0,IF(ISNUMBER(SEARCH(BOM!D15,BOM!#REF!))=TRUE,1,0))</f>
        <v>0</v>
      </c>
      <c r="C15" s="17" t="e">
        <f>IF(BOM!#REF!="",0,IF(ISNUMBER(SEARCH(BOM!#REF!,BOM!#REF!))=TRUE,1,0))</f>
        <v>#REF!</v>
      </c>
      <c r="D15" s="17" t="e">
        <f t="shared" si="0"/>
        <v>#REF!</v>
      </c>
      <c r="E15" s="17" t="e">
        <f t="shared" si="1"/>
        <v>#REF!</v>
      </c>
      <c r="F15" s="17" t="e">
        <f>IF(OR(BOM!#REF!="true",BOM!#REF!="FI",BOM!#REF!="Free Issue"),1,0)</f>
        <v>#REF!</v>
      </c>
      <c r="G15" s="17">
        <f>IF(OR(ISNUMBER(SEARCH("approved",BOM!#REF!)),ISNUMBER(SEARCH("ok to use",BOM!#REF!)))=TRUE,0,(IF(OR(ISNUMBER(SEARCH("alt",BOM!#REF!)),ISNUMBER(SEARCH("alternative",BOM!#REF!)))=TRUE,1,0)))</f>
        <v>0</v>
      </c>
      <c r="H15" s="17">
        <f>IF(OR(ISNUMBER(SEARCH("approved",BOM!#REF!)),ISNUMBER(SEARCH("ok to use",BOM!#REF!)))=TRUE,1,0)</f>
        <v>0</v>
      </c>
      <c r="I15" s="17">
        <f>IF(OR(ISNUMBER(SEARCH("long lead",BOM!#REF!)),ISNUMBER(SEARCH("longlead",BOM!#REF!)))=TRUE,1,0)</f>
        <v>0</v>
      </c>
      <c r="J15" s="17" t="e">
        <f>IF(OR(ISNUMBER(SEARCH("c",BOM!#REF!)),ISNUMBER(SEARCH("r",BOM!#REF!)),(BOM!#REF!="Stock"))=TRUE,1,0)</f>
        <v>#REF!</v>
      </c>
      <c r="K15" s="17">
        <f>IF(OR(ISNUMBER(SEARCH("dnp",BOM!#REF!)),ISNUMBER(SEARCH("dnf",BOM!#REF!)),ISNUMBER(SEARCH("not fitted",BOM!#REF!)))=TRUE,1,0)</f>
        <v>0</v>
      </c>
      <c r="L15" s="17" t="e">
        <f>IF(AND(OR(BOM!#REF!="",BOM!$D15=""),BOM!$A15&gt;0),IF(OR($F15=1,$J15=1,$K15=1),0,1),0)</f>
        <v>#REF!</v>
      </c>
      <c r="M15" s="17" t="e">
        <f>(BOM!#REF!-BOM!#REF!)*BOM!#REF!</f>
        <v>#REF!</v>
      </c>
      <c r="X15" s="17">
        <v>0</v>
      </c>
      <c r="Y15" s="17">
        <v>0</v>
      </c>
    </row>
    <row r="16" spans="1:31" x14ac:dyDescent="0.2">
      <c r="A16" s="17" t="e">
        <f>IF(BOM!#REF!="",0,IF(BOM!#REF!&lt;=BOM!#REF!,IF(ISNUMBER(SEARCH("exact",BOM!#REF!))=TRUE,2,IF(OR(F16=1,J16=1,K16=1),1,3)),1))</f>
        <v>#REF!</v>
      </c>
      <c r="B16" s="17">
        <f>IF(BOM!D16="",0,IF(ISNUMBER(SEARCH(BOM!D16,BOM!#REF!))=TRUE,1,0))</f>
        <v>0</v>
      </c>
      <c r="C16" s="17" t="e">
        <f>IF(BOM!#REF!="",0,IF(ISNUMBER(SEARCH(BOM!#REF!,BOM!#REF!))=TRUE,1,0))</f>
        <v>#REF!</v>
      </c>
      <c r="D16" s="17" t="e">
        <f t="shared" si="0"/>
        <v>#REF!</v>
      </c>
      <c r="E16" s="17" t="e">
        <f t="shared" si="1"/>
        <v>#REF!</v>
      </c>
      <c r="F16" s="17" t="e">
        <f>IF(OR(BOM!#REF!="true",BOM!#REF!="FI",BOM!#REF!="Free Issue"),1,0)</f>
        <v>#REF!</v>
      </c>
      <c r="G16" s="17">
        <f>IF(OR(ISNUMBER(SEARCH("approved",BOM!#REF!)),ISNUMBER(SEARCH("ok to use",BOM!#REF!)))=TRUE,0,(IF(OR(ISNUMBER(SEARCH("alt",BOM!#REF!)),ISNUMBER(SEARCH("alternative",BOM!#REF!)))=TRUE,1,0)))</f>
        <v>0</v>
      </c>
      <c r="H16" s="17">
        <f>IF(OR(ISNUMBER(SEARCH("approved",BOM!#REF!)),ISNUMBER(SEARCH("ok to use",BOM!#REF!)))=TRUE,1,0)</f>
        <v>0</v>
      </c>
      <c r="I16" s="17">
        <f>IF(OR(ISNUMBER(SEARCH("long lead",BOM!#REF!)),ISNUMBER(SEARCH("longlead",BOM!#REF!)))=TRUE,1,0)</f>
        <v>0</v>
      </c>
      <c r="J16" s="17" t="e">
        <f>IF(OR(ISNUMBER(SEARCH("c",BOM!#REF!)),ISNUMBER(SEARCH("r",BOM!#REF!)),(BOM!#REF!="Stock"))=TRUE,1,0)</f>
        <v>#REF!</v>
      </c>
      <c r="K16" s="17">
        <f>IF(OR(ISNUMBER(SEARCH("dnp",BOM!#REF!)),ISNUMBER(SEARCH("dnf",BOM!#REF!)),ISNUMBER(SEARCH("not fitted",BOM!#REF!)))=TRUE,1,0)</f>
        <v>0</v>
      </c>
      <c r="L16" s="17" t="e">
        <f>IF(AND(OR(BOM!#REF!="",BOM!$D16=""),BOM!$A16&gt;0),IF(OR($F16=1,$J16=1,$K16=1),0,1),0)</f>
        <v>#REF!</v>
      </c>
      <c r="M16" s="17" t="e">
        <f>(BOM!#REF!-BOM!#REF!)*BOM!#REF!</f>
        <v>#REF!</v>
      </c>
      <c r="Y16" s="17">
        <v>0</v>
      </c>
    </row>
    <row r="17" spans="1:25" x14ac:dyDescent="0.2">
      <c r="A17" s="17" t="e">
        <f>IF(BOM!#REF!="",0,IF(BOM!#REF!&lt;=BOM!#REF!,IF(ISNUMBER(SEARCH("exact",BOM!#REF!))=TRUE,2,IF(OR(F17=1,J17=1,K17=1),1,3)),1))</f>
        <v>#REF!</v>
      </c>
      <c r="B17" s="17">
        <f>IF(BOM!D17="",0,IF(ISNUMBER(SEARCH(BOM!D17,BOM!#REF!))=TRUE,1,0))</f>
        <v>0</v>
      </c>
      <c r="C17" s="17" t="e">
        <f>IF(BOM!#REF!="",0,IF(ISNUMBER(SEARCH(BOM!#REF!,BOM!#REF!))=TRUE,1,0))</f>
        <v>#REF!</v>
      </c>
      <c r="D17" s="17" t="e">
        <f t="shared" si="0"/>
        <v>#REF!</v>
      </c>
      <c r="E17" s="17" t="e">
        <f t="shared" si="1"/>
        <v>#REF!</v>
      </c>
      <c r="F17" s="17" t="e">
        <f>IF(OR(BOM!#REF!="true",BOM!#REF!="FI",BOM!#REF!="Free Issue"),1,0)</f>
        <v>#REF!</v>
      </c>
      <c r="G17" s="17">
        <f>IF(OR(ISNUMBER(SEARCH("approved",BOM!#REF!)),ISNUMBER(SEARCH("ok to use",BOM!#REF!)))=TRUE,0,(IF(OR(ISNUMBER(SEARCH("alt",BOM!#REF!)),ISNUMBER(SEARCH("alternative",BOM!#REF!)))=TRUE,1,0)))</f>
        <v>0</v>
      </c>
      <c r="H17" s="17">
        <f>IF(OR(ISNUMBER(SEARCH("approved",BOM!#REF!)),ISNUMBER(SEARCH("ok to use",BOM!#REF!)))=TRUE,1,0)</f>
        <v>0</v>
      </c>
      <c r="I17" s="17">
        <f>IF(OR(ISNUMBER(SEARCH("long lead",BOM!#REF!)),ISNUMBER(SEARCH("longlead",BOM!#REF!)))=TRUE,1,0)</f>
        <v>0</v>
      </c>
      <c r="J17" s="17" t="e">
        <f>IF(OR(ISNUMBER(SEARCH("c",BOM!#REF!)),ISNUMBER(SEARCH("r",BOM!#REF!)),(BOM!#REF!="Stock"))=TRUE,1,0)</f>
        <v>#REF!</v>
      </c>
      <c r="K17" s="17">
        <f>IF(OR(ISNUMBER(SEARCH("dnp",BOM!#REF!)),ISNUMBER(SEARCH("dnf",BOM!#REF!)),ISNUMBER(SEARCH("not fitted",BOM!#REF!)))=TRUE,1,0)</f>
        <v>0</v>
      </c>
      <c r="L17" s="17" t="e">
        <f>IF(AND(OR(BOM!#REF!="",BOM!$D17=""),BOM!$A17&gt;0),IF(OR($F17=1,$J17=1,$K17=1),0,1),0)</f>
        <v>#REF!</v>
      </c>
      <c r="M17" s="17" t="e">
        <f>(BOM!#REF!-BOM!#REF!)*BOM!#REF!</f>
        <v>#REF!</v>
      </c>
      <c r="Y17" s="17">
        <v>0</v>
      </c>
    </row>
    <row r="18" spans="1:25" x14ac:dyDescent="0.2">
      <c r="A18" s="17" t="e">
        <f>IF(BOM!#REF!="",0,IF(BOM!#REF!&lt;=BOM!#REF!,IF(ISNUMBER(SEARCH("exact",BOM!#REF!))=TRUE,2,IF(OR(F18=1,J18=1,K18=1),1,3)),1))</f>
        <v>#REF!</v>
      </c>
      <c r="B18" s="17">
        <f>IF(BOM!D18="",0,IF(ISNUMBER(SEARCH(BOM!D18,BOM!#REF!))=TRUE,1,0))</f>
        <v>0</v>
      </c>
      <c r="C18" s="17" t="e">
        <f>IF(BOM!#REF!="",0,IF(ISNUMBER(SEARCH(BOM!#REF!,BOM!#REF!))=TRUE,1,0))</f>
        <v>#REF!</v>
      </c>
      <c r="D18" s="17" t="e">
        <f t="shared" si="0"/>
        <v>#REF!</v>
      </c>
      <c r="E18" s="17" t="e">
        <f t="shared" si="1"/>
        <v>#REF!</v>
      </c>
      <c r="F18" s="17" t="e">
        <f>IF(OR(BOM!#REF!="true",BOM!#REF!="FI",BOM!#REF!="Free Issue"),1,0)</f>
        <v>#REF!</v>
      </c>
      <c r="G18" s="17">
        <f>IF(OR(ISNUMBER(SEARCH("approved",BOM!#REF!)),ISNUMBER(SEARCH("ok to use",BOM!#REF!)))=TRUE,0,(IF(OR(ISNUMBER(SEARCH("alt",BOM!#REF!)),ISNUMBER(SEARCH("alternative",BOM!#REF!)))=TRUE,1,0)))</f>
        <v>0</v>
      </c>
      <c r="H18" s="17">
        <f>IF(OR(ISNUMBER(SEARCH("approved",BOM!#REF!)),ISNUMBER(SEARCH("ok to use",BOM!#REF!)))=TRUE,1,0)</f>
        <v>0</v>
      </c>
      <c r="I18" s="17">
        <f>IF(OR(ISNUMBER(SEARCH("long lead",BOM!#REF!)),ISNUMBER(SEARCH("longlead",BOM!#REF!)))=TRUE,1,0)</f>
        <v>0</v>
      </c>
      <c r="J18" s="17" t="e">
        <f>IF(OR(ISNUMBER(SEARCH("c",BOM!#REF!)),ISNUMBER(SEARCH("r",BOM!#REF!)),(BOM!#REF!="Stock"))=TRUE,1,0)</f>
        <v>#REF!</v>
      </c>
      <c r="K18" s="17">
        <f>IF(OR(ISNUMBER(SEARCH("dnp",BOM!#REF!)),ISNUMBER(SEARCH("dnf",BOM!#REF!)),ISNUMBER(SEARCH("not fitted",BOM!#REF!)))=TRUE,1,0)</f>
        <v>0</v>
      </c>
      <c r="L18" s="17" t="e">
        <f>IF(AND(OR(BOM!#REF!="",BOM!$D18=""),BOM!$A18&gt;0),IF(OR($F18=1,$J18=1,$K18=1),0,1),0)</f>
        <v>#REF!</v>
      </c>
      <c r="M18" s="17" t="e">
        <f>(BOM!#REF!-BOM!#REF!)*BOM!#REF!</f>
        <v>#REF!</v>
      </c>
      <c r="Y18" s="17">
        <v>0</v>
      </c>
    </row>
    <row r="19" spans="1:25" x14ac:dyDescent="0.2">
      <c r="A19" s="17" t="e">
        <f>IF(BOM!#REF!="",0,IF(BOM!#REF!&lt;=BOM!#REF!,IF(ISNUMBER(SEARCH("exact",BOM!#REF!))=TRUE,2,IF(OR(F19=1,J19=1,K19=1),1,3)),1))</f>
        <v>#REF!</v>
      </c>
      <c r="B19" s="17">
        <f>IF(BOM!D19="",0,IF(ISNUMBER(SEARCH(BOM!D19,BOM!#REF!))=TRUE,1,0))</f>
        <v>0</v>
      </c>
      <c r="C19" s="17" t="e">
        <f>IF(BOM!#REF!="",0,IF(ISNUMBER(SEARCH(BOM!#REF!,BOM!#REF!))=TRUE,1,0))</f>
        <v>#REF!</v>
      </c>
      <c r="D19" s="17" t="e">
        <f t="shared" si="0"/>
        <v>#REF!</v>
      </c>
      <c r="E19" s="17" t="e">
        <f t="shared" si="1"/>
        <v>#REF!</v>
      </c>
      <c r="F19" s="17" t="e">
        <f>IF(OR(BOM!#REF!="true",BOM!#REF!="FI",BOM!#REF!="Free Issue"),1,0)</f>
        <v>#REF!</v>
      </c>
      <c r="G19" s="17">
        <f>IF(OR(ISNUMBER(SEARCH("approved",BOM!#REF!)),ISNUMBER(SEARCH("ok to use",BOM!#REF!)))=TRUE,0,(IF(OR(ISNUMBER(SEARCH("alt",BOM!#REF!)),ISNUMBER(SEARCH("alternative",BOM!#REF!)))=TRUE,1,0)))</f>
        <v>0</v>
      </c>
      <c r="H19" s="17">
        <f>IF(OR(ISNUMBER(SEARCH("approved",BOM!#REF!)),ISNUMBER(SEARCH("ok to use",BOM!#REF!)))=TRUE,1,0)</f>
        <v>0</v>
      </c>
      <c r="I19" s="17">
        <f>IF(OR(ISNUMBER(SEARCH("long lead",BOM!#REF!)),ISNUMBER(SEARCH("longlead",BOM!#REF!)))=TRUE,1,0)</f>
        <v>0</v>
      </c>
      <c r="J19" s="17" t="e">
        <f>IF(OR(ISNUMBER(SEARCH("c",BOM!#REF!)),ISNUMBER(SEARCH("r",BOM!#REF!)),(BOM!#REF!="Stock"))=TRUE,1,0)</f>
        <v>#REF!</v>
      </c>
      <c r="K19" s="17">
        <f>IF(OR(ISNUMBER(SEARCH("dnp",BOM!#REF!)),ISNUMBER(SEARCH("dnf",BOM!#REF!)),ISNUMBER(SEARCH("not fitted",BOM!#REF!)))=TRUE,1,0)</f>
        <v>0</v>
      </c>
      <c r="L19" s="17" t="e">
        <f>IF(AND(OR(BOM!#REF!="",BOM!$D19=""),BOM!$A19&gt;0),IF(OR($F19=1,$J19=1,$K19=1),0,1),0)</f>
        <v>#REF!</v>
      </c>
      <c r="M19" s="17" t="e">
        <f>(BOM!#REF!-BOM!#REF!)*BOM!#REF!</f>
        <v>#REF!</v>
      </c>
      <c r="Y19" s="17">
        <v>0</v>
      </c>
    </row>
    <row r="20" spans="1:25" x14ac:dyDescent="0.2">
      <c r="A20" s="17" t="e">
        <f>IF(BOM!#REF!="",0,IF(BOM!#REF!&lt;=BOM!#REF!,IF(ISNUMBER(SEARCH("exact",BOM!#REF!))=TRUE,2,IF(OR(F20=1,J20=1,K20=1),1,3)),1))</f>
        <v>#REF!</v>
      </c>
      <c r="B20" s="17">
        <f>IF(BOM!D20="",0,IF(ISNUMBER(SEARCH(BOM!D20,BOM!#REF!))=TRUE,1,0))</f>
        <v>0</v>
      </c>
      <c r="C20" s="17" t="e">
        <f>IF(BOM!#REF!="",0,IF(ISNUMBER(SEARCH(BOM!#REF!,BOM!#REF!))=TRUE,1,0))</f>
        <v>#REF!</v>
      </c>
      <c r="D20" s="17" t="e">
        <f t="shared" si="0"/>
        <v>#REF!</v>
      </c>
      <c r="E20" s="17" t="e">
        <f t="shared" si="1"/>
        <v>#REF!</v>
      </c>
      <c r="F20" s="17" t="e">
        <f>IF(OR(BOM!#REF!="true",BOM!#REF!="FI",BOM!#REF!="Free Issue"),1,0)</f>
        <v>#REF!</v>
      </c>
      <c r="G20" s="17">
        <f>IF(OR(ISNUMBER(SEARCH("approved",BOM!#REF!)),ISNUMBER(SEARCH("ok to use",BOM!#REF!)))=TRUE,0,(IF(OR(ISNUMBER(SEARCH("alt",BOM!#REF!)),ISNUMBER(SEARCH("alternative",BOM!#REF!)))=TRUE,1,0)))</f>
        <v>0</v>
      </c>
      <c r="H20" s="17">
        <f>IF(OR(ISNUMBER(SEARCH("approved",BOM!#REF!)),ISNUMBER(SEARCH("ok to use",BOM!#REF!)))=TRUE,1,0)</f>
        <v>0</v>
      </c>
      <c r="I20" s="17">
        <f>IF(OR(ISNUMBER(SEARCH("long lead",BOM!#REF!)),ISNUMBER(SEARCH("longlead",BOM!#REF!)))=TRUE,1,0)</f>
        <v>0</v>
      </c>
      <c r="J20" s="17" t="e">
        <f>IF(OR(ISNUMBER(SEARCH("c",BOM!#REF!)),ISNUMBER(SEARCH("r",BOM!#REF!)),(BOM!#REF!="Stock"))=TRUE,1,0)</f>
        <v>#REF!</v>
      </c>
      <c r="K20" s="17">
        <f>IF(OR(ISNUMBER(SEARCH("dnp",BOM!#REF!)),ISNUMBER(SEARCH("dnf",BOM!#REF!)),ISNUMBER(SEARCH("not fitted",BOM!#REF!)))=TRUE,1,0)</f>
        <v>0</v>
      </c>
      <c r="L20" s="17" t="e">
        <f>IF(AND(OR(BOM!#REF!="",BOM!$D20=""),BOM!$A20&gt;0),IF(OR($F20=1,$J20=1,$K20=1),0,1),0)</f>
        <v>#REF!</v>
      </c>
      <c r="M20" s="17" t="e">
        <f>(BOM!#REF!-BOM!#REF!)*BOM!#REF!</f>
        <v>#REF!</v>
      </c>
      <c r="Y20" s="17">
        <v>0</v>
      </c>
    </row>
    <row r="21" spans="1:25" x14ac:dyDescent="0.2">
      <c r="Y21" s="17">
        <v>0</v>
      </c>
    </row>
    <row r="22" spans="1:25" x14ac:dyDescent="0.2">
      <c r="Y22" s="17">
        <v>0</v>
      </c>
    </row>
    <row r="23" spans="1:25" x14ac:dyDescent="0.2">
      <c r="Y23" s="17">
        <v>0</v>
      </c>
    </row>
    <row r="24" spans="1:25" x14ac:dyDescent="0.2">
      <c r="Y24" s="17">
        <v>0</v>
      </c>
    </row>
    <row r="25" spans="1:25" x14ac:dyDescent="0.2">
      <c r="Y25" s="17">
        <v>0</v>
      </c>
    </row>
    <row r="26" spans="1:25" x14ac:dyDescent="0.2">
      <c r="Y26" s="17">
        <v>0</v>
      </c>
    </row>
    <row r="27" spans="1:25" x14ac:dyDescent="0.2">
      <c r="Y27" s="17">
        <v>0</v>
      </c>
    </row>
    <row r="28" spans="1:25" x14ac:dyDescent="0.2">
      <c r="Y28" s="17">
        <v>0</v>
      </c>
    </row>
    <row r="29" spans="1:25" x14ac:dyDescent="0.2">
      <c r="Y29" s="17">
        <v>0</v>
      </c>
    </row>
    <row r="30" spans="1:25" x14ac:dyDescent="0.2">
      <c r="Y30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Overview</vt:lpstr>
      <vt:lpstr>BOM</vt:lpstr>
      <vt:lpstr>Purchasing</vt:lpstr>
      <vt:lpstr>POs</vt:lpstr>
      <vt:lpstr>Rev History</vt:lpstr>
      <vt:lpstr>BCFAR</vt:lpstr>
      <vt:lpstr>BCDIG</vt:lpstr>
      <vt:lpstr>BCMOU</vt:lpstr>
      <vt:lpstr>Calculations</vt:lpstr>
      <vt:lpstr>IMPORT</vt:lpstr>
      <vt:lpstr>BOM!Description</vt:lpstr>
      <vt:lpstr>BOM!Description_Data</vt:lpstr>
      <vt:lpstr>BOM!MPN</vt:lpstr>
      <vt:lpstr>BOM!MPN_Data</vt:lpstr>
      <vt:lpstr>BOM!Qty</vt:lpstr>
      <vt:lpstr>BOM!Qty_Data</vt:lpstr>
      <vt:lpstr>BOM!RefDes</vt:lpstr>
      <vt:lpstr>BOM!RefDes_Data</vt:lpstr>
    </vt:vector>
  </TitlesOfParts>
  <Company>Router Solutions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BOM-Connector</dc:creator>
  <cp:lastModifiedBy>George Dettmer</cp:lastModifiedBy>
  <dcterms:created xsi:type="dcterms:W3CDTF">2009-12-09T16:30:01Z</dcterms:created>
  <dcterms:modified xsi:type="dcterms:W3CDTF">2023-10-10T13:36:54Z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cVersion">
    <vt:i4>1</vt:i4>
  </property>
</Properties>
</file>